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filterPrivacy="1"/>
  <xr:revisionPtr revIDLastSave="0" documentId="13_ncr:1_{40CF9666-0ECD-4BD8-B693-4785759425A6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Krycí list soupisu prací" sheetId="2" r:id="rId1"/>
    <sheet name="soupis prací" sheetId="1" r:id="rId2"/>
    <sheet name="VORN" sheetId="3" state="hidden" r:id="rId3"/>
  </sheets>
  <definedNames>
    <definedName name="_xlnm._FilterDatabase" localSheetId="1" hidden="1">'soupis prací'!$F$1:$F$314</definedName>
    <definedName name="vorn_sum">VORN!$I$45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" i="1" l="1"/>
  <c r="O299" i="1"/>
  <c r="F44" i="3"/>
  <c r="I44" i="3" s="1"/>
  <c r="F43" i="3"/>
  <c r="I43" i="3" s="1"/>
  <c r="F42" i="3"/>
  <c r="I42" i="3" s="1"/>
  <c r="F40" i="3"/>
  <c r="I40" i="3" s="1"/>
  <c r="F39" i="3"/>
  <c r="I39" i="3" s="1"/>
  <c r="F36" i="3"/>
  <c r="I36" i="3" s="1"/>
  <c r="I26" i="3"/>
  <c r="I19" i="2" s="1"/>
  <c r="I25" i="3"/>
  <c r="I18" i="2" s="1"/>
  <c r="I24" i="3"/>
  <c r="I17" i="2" s="1"/>
  <c r="I23" i="3"/>
  <c r="I16" i="2" s="1"/>
  <c r="I22" i="3"/>
  <c r="I15" i="2" s="1"/>
  <c r="I21" i="3"/>
  <c r="I14" i="2" s="1"/>
  <c r="I17" i="3"/>
  <c r="I16" i="3"/>
  <c r="F15" i="2" s="1"/>
  <c r="I15" i="3"/>
  <c r="I10" i="3"/>
  <c r="F10" i="3"/>
  <c r="C10" i="3"/>
  <c r="F8" i="3"/>
  <c r="C8" i="3"/>
  <c r="F6" i="3"/>
  <c r="C6" i="3"/>
  <c r="F4" i="3"/>
  <c r="C4" i="3"/>
  <c r="F2" i="3"/>
  <c r="C2" i="3"/>
  <c r="F16" i="2"/>
  <c r="F14" i="2"/>
  <c r="I10" i="2"/>
  <c r="F10" i="2"/>
  <c r="C10" i="2"/>
  <c r="F8" i="2"/>
  <c r="C8" i="2"/>
  <c r="F6" i="2"/>
  <c r="C6" i="2"/>
  <c r="F4" i="2"/>
  <c r="C4" i="2"/>
  <c r="F2" i="2"/>
  <c r="C2" i="2"/>
  <c r="BW311" i="1"/>
  <c r="BS311" i="1"/>
  <c r="F41" i="3" s="1"/>
  <c r="I41" i="3" s="1"/>
  <c r="BJ311" i="1"/>
  <c r="BD311" i="1"/>
  <c r="AP311" i="1"/>
  <c r="BI311" i="1" s="1"/>
  <c r="AO311" i="1"/>
  <c r="BH311" i="1" s="1"/>
  <c r="AK311" i="1"/>
  <c r="AT310" i="1" s="1"/>
  <c r="AJ311" i="1"/>
  <c r="AS310" i="1" s="1"/>
  <c r="AH311" i="1"/>
  <c r="AG311" i="1"/>
  <c r="AF311" i="1"/>
  <c r="AE311" i="1"/>
  <c r="AD311" i="1"/>
  <c r="AC311" i="1"/>
  <c r="AB311" i="1"/>
  <c r="Z311" i="1"/>
  <c r="O311" i="1"/>
  <c r="BF311" i="1" s="1"/>
  <c r="L311" i="1"/>
  <c r="AL311" i="1" s="1"/>
  <c r="AU310" i="1" s="1"/>
  <c r="BW309" i="1"/>
  <c r="BP309" i="1"/>
  <c r="BJ309" i="1"/>
  <c r="BD309" i="1"/>
  <c r="AP309" i="1"/>
  <c r="BI309" i="1" s="1"/>
  <c r="AO309" i="1"/>
  <c r="AW309" i="1" s="1"/>
  <c r="AK309" i="1"/>
  <c r="AJ309" i="1"/>
  <c r="AH309" i="1"/>
  <c r="AG309" i="1"/>
  <c r="AF309" i="1"/>
  <c r="AE309" i="1"/>
  <c r="AD309" i="1"/>
  <c r="AC309" i="1"/>
  <c r="AB309" i="1"/>
  <c r="Z309" i="1"/>
  <c r="O309" i="1"/>
  <c r="BF309" i="1" s="1"/>
  <c r="L309" i="1"/>
  <c r="AL309" i="1" s="1"/>
  <c r="J309" i="1"/>
  <c r="BW307" i="1"/>
  <c r="BP307" i="1"/>
  <c r="BJ307" i="1"/>
  <c r="BD307" i="1"/>
  <c r="AP307" i="1"/>
  <c r="AX307" i="1" s="1"/>
  <c r="AO307" i="1"/>
  <c r="BH307" i="1" s="1"/>
  <c r="AK307" i="1"/>
  <c r="AJ307" i="1"/>
  <c r="AH307" i="1"/>
  <c r="AG307" i="1"/>
  <c r="AF307" i="1"/>
  <c r="AE307" i="1"/>
  <c r="AD307" i="1"/>
  <c r="AC307" i="1"/>
  <c r="AB307" i="1"/>
  <c r="Z307" i="1"/>
  <c r="O307" i="1"/>
  <c r="BF307" i="1" s="1"/>
  <c r="L307" i="1"/>
  <c r="AL307" i="1" s="1"/>
  <c r="BW303" i="1"/>
  <c r="BP303" i="1"/>
  <c r="BJ303" i="1"/>
  <c r="BD303" i="1"/>
  <c r="AP303" i="1"/>
  <c r="AO303" i="1"/>
  <c r="AK303" i="1"/>
  <c r="AJ303" i="1"/>
  <c r="AH303" i="1"/>
  <c r="AG303" i="1"/>
  <c r="AF303" i="1"/>
  <c r="AE303" i="1"/>
  <c r="AD303" i="1"/>
  <c r="AC303" i="1"/>
  <c r="AB303" i="1"/>
  <c r="Z303" i="1"/>
  <c r="O303" i="1"/>
  <c r="BF303" i="1" s="1"/>
  <c r="L303" i="1"/>
  <c r="AL303" i="1" s="1"/>
  <c r="F37" i="3"/>
  <c r="I37" i="3" s="1"/>
  <c r="BW301" i="1"/>
  <c r="BM301" i="1"/>
  <c r="BJ301" i="1"/>
  <c r="BD301" i="1"/>
  <c r="AP301" i="1"/>
  <c r="BI301" i="1" s="1"/>
  <c r="AO301" i="1"/>
  <c r="AW301" i="1" s="1"/>
  <c r="AK301" i="1"/>
  <c r="AJ301" i="1"/>
  <c r="AH301" i="1"/>
  <c r="AG301" i="1"/>
  <c r="AF301" i="1"/>
  <c r="AE301" i="1"/>
  <c r="AD301" i="1"/>
  <c r="AC301" i="1"/>
  <c r="AB301" i="1"/>
  <c r="Z301" i="1"/>
  <c r="O301" i="1"/>
  <c r="L301" i="1"/>
  <c r="BW297" i="1"/>
  <c r="BJ297" i="1"/>
  <c r="Z297" i="1" s="1"/>
  <c r="BD297" i="1"/>
  <c r="AP297" i="1"/>
  <c r="AX297" i="1" s="1"/>
  <c r="AO297" i="1"/>
  <c r="BH297" i="1" s="1"/>
  <c r="AK297" i="1"/>
  <c r="AJ297" i="1"/>
  <c r="AH297" i="1"/>
  <c r="AG297" i="1"/>
  <c r="AF297" i="1"/>
  <c r="AE297" i="1"/>
  <c r="AD297" i="1"/>
  <c r="AC297" i="1"/>
  <c r="AB297" i="1"/>
  <c r="O297" i="1"/>
  <c r="BF297" i="1" s="1"/>
  <c r="L297" i="1"/>
  <c r="AL297" i="1" s="1"/>
  <c r="BW295" i="1"/>
  <c r="BJ295" i="1"/>
  <c r="Z295" i="1" s="1"/>
  <c r="BF295" i="1"/>
  <c r="BD295" i="1"/>
  <c r="AP295" i="1"/>
  <c r="BI295" i="1" s="1"/>
  <c r="AO295" i="1"/>
  <c r="BH295" i="1" s="1"/>
  <c r="AK295" i="1"/>
  <c r="AJ295" i="1"/>
  <c r="AH295" i="1"/>
  <c r="AG295" i="1"/>
  <c r="AF295" i="1"/>
  <c r="AE295" i="1"/>
  <c r="AD295" i="1"/>
  <c r="AC295" i="1"/>
  <c r="AB295" i="1"/>
  <c r="O295" i="1"/>
  <c r="L295" i="1"/>
  <c r="BW293" i="1"/>
  <c r="BJ293" i="1"/>
  <c r="Z293" i="1" s="1"/>
  <c r="BD293" i="1"/>
  <c r="AP293" i="1"/>
  <c r="AX293" i="1" s="1"/>
  <c r="AO293" i="1"/>
  <c r="BH293" i="1" s="1"/>
  <c r="AK293" i="1"/>
  <c r="AJ293" i="1"/>
  <c r="AH293" i="1"/>
  <c r="AG293" i="1"/>
  <c r="AF293" i="1"/>
  <c r="AE293" i="1"/>
  <c r="AD293" i="1"/>
  <c r="AC293" i="1"/>
  <c r="AB293" i="1"/>
  <c r="O293" i="1"/>
  <c r="BF293" i="1" s="1"/>
  <c r="L293" i="1"/>
  <c r="AL293" i="1" s="1"/>
  <c r="BW291" i="1"/>
  <c r="BJ291" i="1"/>
  <c r="Z291" i="1" s="1"/>
  <c r="BD291" i="1"/>
  <c r="AP291" i="1"/>
  <c r="BI291" i="1" s="1"/>
  <c r="AO291" i="1"/>
  <c r="AK291" i="1"/>
  <c r="AJ291" i="1"/>
  <c r="AH291" i="1"/>
  <c r="AG291" i="1"/>
  <c r="AF291" i="1"/>
  <c r="AE291" i="1"/>
  <c r="AD291" i="1"/>
  <c r="AC291" i="1"/>
  <c r="AB291" i="1"/>
  <c r="O291" i="1"/>
  <c r="BF291" i="1" s="1"/>
  <c r="L291" i="1"/>
  <c r="BW290" i="1"/>
  <c r="BJ290" i="1"/>
  <c r="Z290" i="1" s="1"/>
  <c r="BD290" i="1"/>
  <c r="AP290" i="1"/>
  <c r="AX290" i="1" s="1"/>
  <c r="AO290" i="1"/>
  <c r="BH290" i="1" s="1"/>
  <c r="AK290" i="1"/>
  <c r="AJ290" i="1"/>
  <c r="AH290" i="1"/>
  <c r="AG290" i="1"/>
  <c r="AF290" i="1"/>
  <c r="AE290" i="1"/>
  <c r="AD290" i="1"/>
  <c r="AC290" i="1"/>
  <c r="AB290" i="1"/>
  <c r="O290" i="1"/>
  <c r="BF290" i="1" s="1"/>
  <c r="L290" i="1"/>
  <c r="AL290" i="1" s="1"/>
  <c r="BW288" i="1"/>
  <c r="BJ288" i="1"/>
  <c r="Z288" i="1" s="1"/>
  <c r="BD288" i="1"/>
  <c r="AP288" i="1"/>
  <c r="BI288" i="1" s="1"/>
  <c r="AO288" i="1"/>
  <c r="BH288" i="1" s="1"/>
  <c r="AK288" i="1"/>
  <c r="AJ288" i="1"/>
  <c r="AH288" i="1"/>
  <c r="AG288" i="1"/>
  <c r="AF288" i="1"/>
  <c r="AE288" i="1"/>
  <c r="AD288" i="1"/>
  <c r="AC288" i="1"/>
  <c r="AB288" i="1"/>
  <c r="O288" i="1"/>
  <c r="BF288" i="1" s="1"/>
  <c r="L288" i="1"/>
  <c r="BW286" i="1"/>
  <c r="BJ286" i="1"/>
  <c r="Z286" i="1" s="1"/>
  <c r="BD286" i="1"/>
  <c r="AP286" i="1"/>
  <c r="AX286" i="1" s="1"/>
  <c r="AO286" i="1"/>
  <c r="BH286" i="1" s="1"/>
  <c r="AK286" i="1"/>
  <c r="AJ286" i="1"/>
  <c r="AH286" i="1"/>
  <c r="AG286" i="1"/>
  <c r="AF286" i="1"/>
  <c r="AE286" i="1"/>
  <c r="AD286" i="1"/>
  <c r="AC286" i="1"/>
  <c r="AB286" i="1"/>
  <c r="O286" i="1"/>
  <c r="BF286" i="1" s="1"/>
  <c r="L286" i="1"/>
  <c r="AL286" i="1" s="1"/>
  <c r="BW284" i="1"/>
  <c r="BJ284" i="1"/>
  <c r="Z284" i="1" s="1"/>
  <c r="BD284" i="1"/>
  <c r="AP284" i="1"/>
  <c r="BI284" i="1" s="1"/>
  <c r="AO284" i="1"/>
  <c r="BH284" i="1" s="1"/>
  <c r="AK284" i="1"/>
  <c r="AJ284" i="1"/>
  <c r="AH284" i="1"/>
  <c r="AG284" i="1"/>
  <c r="AF284" i="1"/>
  <c r="AE284" i="1"/>
  <c r="AD284" i="1"/>
  <c r="AC284" i="1"/>
  <c r="AB284" i="1"/>
  <c r="O284" i="1"/>
  <c r="L284" i="1"/>
  <c r="BW283" i="1"/>
  <c r="BJ283" i="1"/>
  <c r="BD283" i="1"/>
  <c r="AP283" i="1"/>
  <c r="AX283" i="1" s="1"/>
  <c r="AO283" i="1"/>
  <c r="BH283" i="1" s="1"/>
  <c r="AK283" i="1"/>
  <c r="AJ283" i="1"/>
  <c r="AH283" i="1"/>
  <c r="AG283" i="1"/>
  <c r="AF283" i="1"/>
  <c r="AE283" i="1"/>
  <c r="AD283" i="1"/>
  <c r="AC283" i="1"/>
  <c r="AB283" i="1"/>
  <c r="Z283" i="1"/>
  <c r="O283" i="1"/>
  <c r="BF283" i="1" s="1"/>
  <c r="L283" i="1"/>
  <c r="AL283" i="1" s="1"/>
  <c r="BW280" i="1"/>
  <c r="BJ280" i="1"/>
  <c r="BD280" i="1"/>
  <c r="AP280" i="1"/>
  <c r="BI280" i="1" s="1"/>
  <c r="AC280" i="1" s="1"/>
  <c r="AO280" i="1"/>
  <c r="BH280" i="1" s="1"/>
  <c r="AB280" i="1" s="1"/>
  <c r="AK280" i="1"/>
  <c r="AT278" i="1" s="1"/>
  <c r="AJ280" i="1"/>
  <c r="AH280" i="1"/>
  <c r="AG280" i="1"/>
  <c r="AF280" i="1"/>
  <c r="AE280" i="1"/>
  <c r="AD280" i="1"/>
  <c r="Z280" i="1"/>
  <c r="O280" i="1"/>
  <c r="L280" i="1"/>
  <c r="AL280" i="1" s="1"/>
  <c r="BW279" i="1"/>
  <c r="BJ279" i="1"/>
  <c r="BD279" i="1"/>
  <c r="AP279" i="1"/>
  <c r="AO279" i="1"/>
  <c r="BH279" i="1" s="1"/>
  <c r="AB279" i="1" s="1"/>
  <c r="AK279" i="1"/>
  <c r="AJ279" i="1"/>
  <c r="AH279" i="1"/>
  <c r="AG279" i="1"/>
  <c r="AF279" i="1"/>
  <c r="AE279" i="1"/>
  <c r="AD279" i="1"/>
  <c r="Z279" i="1"/>
  <c r="O279" i="1"/>
  <c r="BF279" i="1" s="1"/>
  <c r="L279" i="1"/>
  <c r="AL279" i="1" s="1"/>
  <c r="BW275" i="1"/>
  <c r="BJ275" i="1"/>
  <c r="BD275" i="1"/>
  <c r="AP275" i="1"/>
  <c r="AO275" i="1"/>
  <c r="BH275" i="1" s="1"/>
  <c r="AB275" i="1" s="1"/>
  <c r="AK275" i="1"/>
  <c r="AJ275" i="1"/>
  <c r="AS274" i="1" s="1"/>
  <c r="AH275" i="1"/>
  <c r="AG275" i="1"/>
  <c r="AF275" i="1"/>
  <c r="AE275" i="1"/>
  <c r="AD275" i="1"/>
  <c r="Z275" i="1"/>
  <c r="O275" i="1"/>
  <c r="O274" i="1" s="1"/>
  <c r="L275" i="1"/>
  <c r="L274" i="1" s="1"/>
  <c r="AT274" i="1"/>
  <c r="BW272" i="1"/>
  <c r="BJ272" i="1"/>
  <c r="BD272" i="1"/>
  <c r="AP272" i="1"/>
  <c r="AX272" i="1" s="1"/>
  <c r="AO272" i="1"/>
  <c r="BH272" i="1" s="1"/>
  <c r="AB272" i="1" s="1"/>
  <c r="AK272" i="1"/>
  <c r="AT271" i="1" s="1"/>
  <c r="AJ272" i="1"/>
  <c r="AS271" i="1" s="1"/>
  <c r="AH272" i="1"/>
  <c r="AG272" i="1"/>
  <c r="AF272" i="1"/>
  <c r="AE272" i="1"/>
  <c r="AD272" i="1"/>
  <c r="Z272" i="1"/>
  <c r="O272" i="1"/>
  <c r="BF272" i="1" s="1"/>
  <c r="L272" i="1"/>
  <c r="AL272" i="1" s="1"/>
  <c r="AU271" i="1" s="1"/>
  <c r="BW270" i="1"/>
  <c r="BJ270" i="1"/>
  <c r="BD270" i="1"/>
  <c r="AP270" i="1"/>
  <c r="BI270" i="1" s="1"/>
  <c r="AC270" i="1" s="1"/>
  <c r="AO270" i="1"/>
  <c r="BH270" i="1" s="1"/>
  <c r="AB270" i="1" s="1"/>
  <c r="AK270" i="1"/>
  <c r="AJ270" i="1"/>
  <c r="AH270" i="1"/>
  <c r="AG270" i="1"/>
  <c r="AF270" i="1"/>
  <c r="AE270" i="1"/>
  <c r="AD270" i="1"/>
  <c r="Z270" i="1"/>
  <c r="O270" i="1"/>
  <c r="BF270" i="1" s="1"/>
  <c r="L270" i="1"/>
  <c r="AL270" i="1" s="1"/>
  <c r="BW268" i="1"/>
  <c r="BJ268" i="1"/>
  <c r="BD268" i="1"/>
  <c r="AP268" i="1"/>
  <c r="AX268" i="1" s="1"/>
  <c r="AO268" i="1"/>
  <c r="AK268" i="1"/>
  <c r="AJ268" i="1"/>
  <c r="AH268" i="1"/>
  <c r="AG268" i="1"/>
  <c r="AF268" i="1"/>
  <c r="AE268" i="1"/>
  <c r="AD268" i="1"/>
  <c r="Z268" i="1"/>
  <c r="O268" i="1"/>
  <c r="BF268" i="1" s="1"/>
  <c r="L268" i="1"/>
  <c r="AL268" i="1" s="1"/>
  <c r="BW266" i="1"/>
  <c r="BJ266" i="1"/>
  <c r="BD266" i="1"/>
  <c r="AP266" i="1"/>
  <c r="BI266" i="1" s="1"/>
  <c r="AC266" i="1" s="1"/>
  <c r="AO266" i="1"/>
  <c r="BH266" i="1" s="1"/>
  <c r="AB266" i="1" s="1"/>
  <c r="AK266" i="1"/>
  <c r="AJ266" i="1"/>
  <c r="AH266" i="1"/>
  <c r="AG266" i="1"/>
  <c r="AF266" i="1"/>
  <c r="AE266" i="1"/>
  <c r="AD266" i="1"/>
  <c r="Z266" i="1"/>
  <c r="O266" i="1"/>
  <c r="BF266" i="1" s="1"/>
  <c r="L266" i="1"/>
  <c r="BW264" i="1"/>
  <c r="BJ264" i="1"/>
  <c r="BD264" i="1"/>
  <c r="AP264" i="1"/>
  <c r="AO264" i="1"/>
  <c r="AK264" i="1"/>
  <c r="AJ264" i="1"/>
  <c r="AH264" i="1"/>
  <c r="AG264" i="1"/>
  <c r="AF264" i="1"/>
  <c r="AE264" i="1"/>
  <c r="AD264" i="1"/>
  <c r="Z264" i="1"/>
  <c r="O264" i="1"/>
  <c r="BF264" i="1" s="1"/>
  <c r="L264" i="1"/>
  <c r="AL264" i="1" s="1"/>
  <c r="BW262" i="1"/>
  <c r="BJ262" i="1"/>
  <c r="BD262" i="1"/>
  <c r="AP262" i="1"/>
  <c r="BI262" i="1" s="1"/>
  <c r="AC262" i="1" s="1"/>
  <c r="AO262" i="1"/>
  <c r="BH262" i="1" s="1"/>
  <c r="AB262" i="1" s="1"/>
  <c r="AK262" i="1"/>
  <c r="AJ262" i="1"/>
  <c r="AH262" i="1"/>
  <c r="AG262" i="1"/>
  <c r="AF262" i="1"/>
  <c r="AE262" i="1"/>
  <c r="AD262" i="1"/>
  <c r="Z262" i="1"/>
  <c r="O262" i="1"/>
  <c r="BF262" i="1" s="1"/>
  <c r="L262" i="1"/>
  <c r="AL262" i="1" s="1"/>
  <c r="BW260" i="1"/>
  <c r="BJ260" i="1"/>
  <c r="BD260" i="1"/>
  <c r="AP260" i="1"/>
  <c r="AX260" i="1" s="1"/>
  <c r="AO260" i="1"/>
  <c r="BH260" i="1" s="1"/>
  <c r="AB260" i="1" s="1"/>
  <c r="AK260" i="1"/>
  <c r="AJ260" i="1"/>
  <c r="AH260" i="1"/>
  <c r="AG260" i="1"/>
  <c r="AF260" i="1"/>
  <c r="AE260" i="1"/>
  <c r="AD260" i="1"/>
  <c r="Z260" i="1"/>
  <c r="O260" i="1"/>
  <c r="BF260" i="1" s="1"/>
  <c r="L260" i="1"/>
  <c r="AL260" i="1" s="1"/>
  <c r="BW257" i="1"/>
  <c r="BJ257" i="1"/>
  <c r="BD257" i="1"/>
  <c r="AP257" i="1"/>
  <c r="AO257" i="1"/>
  <c r="BH257" i="1" s="1"/>
  <c r="AB257" i="1" s="1"/>
  <c r="AK257" i="1"/>
  <c r="AJ257" i="1"/>
  <c r="AH257" i="1"/>
  <c r="AG257" i="1"/>
  <c r="AF257" i="1"/>
  <c r="AE257" i="1"/>
  <c r="AD257" i="1"/>
  <c r="Z257" i="1"/>
  <c r="O257" i="1"/>
  <c r="BF257" i="1" s="1"/>
  <c r="L257" i="1"/>
  <c r="BW254" i="1"/>
  <c r="BJ254" i="1"/>
  <c r="BD254" i="1"/>
  <c r="AP254" i="1"/>
  <c r="AX254" i="1" s="1"/>
  <c r="AO254" i="1"/>
  <c r="BH254" i="1" s="1"/>
  <c r="AB254" i="1" s="1"/>
  <c r="AK254" i="1"/>
  <c r="AJ254" i="1"/>
  <c r="AH254" i="1"/>
  <c r="AG254" i="1"/>
  <c r="AF254" i="1"/>
  <c r="AE254" i="1"/>
  <c r="AD254" i="1"/>
  <c r="Z254" i="1"/>
  <c r="O254" i="1"/>
  <c r="BF254" i="1" s="1"/>
  <c r="L254" i="1"/>
  <c r="AL254" i="1" s="1"/>
  <c r="BW251" i="1"/>
  <c r="BJ251" i="1"/>
  <c r="BF251" i="1"/>
  <c r="BD251" i="1"/>
  <c r="AP251" i="1"/>
  <c r="BI251" i="1" s="1"/>
  <c r="AC251" i="1" s="1"/>
  <c r="AO251" i="1"/>
  <c r="BH251" i="1" s="1"/>
  <c r="AB251" i="1" s="1"/>
  <c r="AK251" i="1"/>
  <c r="AJ251" i="1"/>
  <c r="AH251" i="1"/>
  <c r="AG251" i="1"/>
  <c r="AF251" i="1"/>
  <c r="AE251" i="1"/>
  <c r="AD251" i="1"/>
  <c r="Z251" i="1"/>
  <c r="O251" i="1"/>
  <c r="L251" i="1"/>
  <c r="BW248" i="1"/>
  <c r="BJ248" i="1"/>
  <c r="BD248" i="1"/>
  <c r="AP248" i="1"/>
  <c r="AO248" i="1"/>
  <c r="J248" i="1" s="1"/>
  <c r="AK248" i="1"/>
  <c r="AJ248" i="1"/>
  <c r="AH248" i="1"/>
  <c r="AG248" i="1"/>
  <c r="AF248" i="1"/>
  <c r="AE248" i="1"/>
  <c r="AD248" i="1"/>
  <c r="Z248" i="1"/>
  <c r="O248" i="1"/>
  <c r="BF248" i="1" s="1"/>
  <c r="L248" i="1"/>
  <c r="AL248" i="1" s="1"/>
  <c r="BW245" i="1"/>
  <c r="BJ245" i="1"/>
  <c r="BD245" i="1"/>
  <c r="AP245" i="1"/>
  <c r="BI245" i="1" s="1"/>
  <c r="AC245" i="1" s="1"/>
  <c r="AO245" i="1"/>
  <c r="BH245" i="1" s="1"/>
  <c r="AB245" i="1" s="1"/>
  <c r="AK245" i="1"/>
  <c r="AJ245" i="1"/>
  <c r="AH245" i="1"/>
  <c r="AG245" i="1"/>
  <c r="AF245" i="1"/>
  <c r="AE245" i="1"/>
  <c r="AD245" i="1"/>
  <c r="Z245" i="1"/>
  <c r="O245" i="1"/>
  <c r="BF245" i="1" s="1"/>
  <c r="L245" i="1"/>
  <c r="BW243" i="1"/>
  <c r="BJ243" i="1"/>
  <c r="BD243" i="1"/>
  <c r="AP243" i="1"/>
  <c r="AX243" i="1" s="1"/>
  <c r="AO243" i="1"/>
  <c r="BH243" i="1" s="1"/>
  <c r="AB243" i="1" s="1"/>
  <c r="AK243" i="1"/>
  <c r="AJ243" i="1"/>
  <c r="AH243" i="1"/>
  <c r="AG243" i="1"/>
  <c r="AF243" i="1"/>
  <c r="AE243" i="1"/>
  <c r="AD243" i="1"/>
  <c r="Z243" i="1"/>
  <c r="O243" i="1"/>
  <c r="BF243" i="1" s="1"/>
  <c r="L243" i="1"/>
  <c r="BW241" i="1"/>
  <c r="BJ241" i="1"/>
  <c r="BD241" i="1"/>
  <c r="AP241" i="1"/>
  <c r="AO241" i="1"/>
  <c r="AK241" i="1"/>
  <c r="AJ241" i="1"/>
  <c r="AH241" i="1"/>
  <c r="AG241" i="1"/>
  <c r="AF241" i="1"/>
  <c r="AE241" i="1"/>
  <c r="AD241" i="1"/>
  <c r="Z241" i="1"/>
  <c r="O241" i="1"/>
  <c r="BF241" i="1" s="1"/>
  <c r="L241" i="1"/>
  <c r="M241" i="1" s="1"/>
  <c r="BW240" i="1"/>
  <c r="BJ240" i="1"/>
  <c r="BD240" i="1"/>
  <c r="AP240" i="1"/>
  <c r="AX240" i="1" s="1"/>
  <c r="AO240" i="1"/>
  <c r="BH240" i="1" s="1"/>
  <c r="AB240" i="1" s="1"/>
  <c r="AK240" i="1"/>
  <c r="AJ240" i="1"/>
  <c r="AH240" i="1"/>
  <c r="AG240" i="1"/>
  <c r="AF240" i="1"/>
  <c r="AE240" i="1"/>
  <c r="AD240" i="1"/>
  <c r="Z240" i="1"/>
  <c r="O240" i="1"/>
  <c r="BF240" i="1" s="1"/>
  <c r="L240" i="1"/>
  <c r="AL240" i="1" s="1"/>
  <c r="BW237" i="1"/>
  <c r="BJ237" i="1"/>
  <c r="BD237" i="1"/>
  <c r="AP237" i="1"/>
  <c r="BI237" i="1" s="1"/>
  <c r="AC237" i="1" s="1"/>
  <c r="AO237" i="1"/>
  <c r="BH237" i="1" s="1"/>
  <c r="AB237" i="1" s="1"/>
  <c r="AK237" i="1"/>
  <c r="AJ237" i="1"/>
  <c r="AH237" i="1"/>
  <c r="AG237" i="1"/>
  <c r="AF237" i="1"/>
  <c r="AE237" i="1"/>
  <c r="AD237" i="1"/>
  <c r="Z237" i="1"/>
  <c r="O237" i="1"/>
  <c r="BF237" i="1" s="1"/>
  <c r="L237" i="1"/>
  <c r="BW236" i="1"/>
  <c r="BJ236" i="1"/>
  <c r="BD236" i="1"/>
  <c r="AP236" i="1"/>
  <c r="AX236" i="1" s="1"/>
  <c r="AO236" i="1"/>
  <c r="AK236" i="1"/>
  <c r="AJ236" i="1"/>
  <c r="AH236" i="1"/>
  <c r="AG236" i="1"/>
  <c r="AF236" i="1"/>
  <c r="AE236" i="1"/>
  <c r="AD236" i="1"/>
  <c r="Z236" i="1"/>
  <c r="O236" i="1"/>
  <c r="BF236" i="1" s="1"/>
  <c r="L236" i="1"/>
  <c r="BW233" i="1"/>
  <c r="BJ233" i="1"/>
  <c r="BD233" i="1"/>
  <c r="AP233" i="1"/>
  <c r="BI233" i="1" s="1"/>
  <c r="AC233" i="1" s="1"/>
  <c r="AO233" i="1"/>
  <c r="BH233" i="1" s="1"/>
  <c r="AB233" i="1" s="1"/>
  <c r="AK233" i="1"/>
  <c r="AJ233" i="1"/>
  <c r="AH233" i="1"/>
  <c r="AG233" i="1"/>
  <c r="AF233" i="1"/>
  <c r="AE233" i="1"/>
  <c r="AD233" i="1"/>
  <c r="Z233" i="1"/>
  <c r="O233" i="1"/>
  <c r="BF233" i="1" s="1"/>
  <c r="L233" i="1"/>
  <c r="M233" i="1" s="1"/>
  <c r="BW232" i="1"/>
  <c r="BJ232" i="1"/>
  <c r="BD232" i="1"/>
  <c r="AP232" i="1"/>
  <c r="AO232" i="1"/>
  <c r="BH232" i="1" s="1"/>
  <c r="AB232" i="1" s="1"/>
  <c r="AK232" i="1"/>
  <c r="AJ232" i="1"/>
  <c r="AH232" i="1"/>
  <c r="AG232" i="1"/>
  <c r="AF232" i="1"/>
  <c r="AE232" i="1"/>
  <c r="AD232" i="1"/>
  <c r="Z232" i="1"/>
  <c r="O232" i="1"/>
  <c r="BF232" i="1" s="1"/>
  <c r="L232" i="1"/>
  <c r="AL232" i="1" s="1"/>
  <c r="BW229" i="1"/>
  <c r="BJ229" i="1"/>
  <c r="BD229" i="1"/>
  <c r="AP229" i="1"/>
  <c r="BI229" i="1" s="1"/>
  <c r="AC229" i="1" s="1"/>
  <c r="AO229" i="1"/>
  <c r="BH229" i="1" s="1"/>
  <c r="AB229" i="1" s="1"/>
  <c r="AK229" i="1"/>
  <c r="AJ229" i="1"/>
  <c r="AH229" i="1"/>
  <c r="AG229" i="1"/>
  <c r="AF229" i="1"/>
  <c r="AE229" i="1"/>
  <c r="AD229" i="1"/>
  <c r="Z229" i="1"/>
  <c r="O229" i="1"/>
  <c r="L229" i="1"/>
  <c r="AL229" i="1" s="1"/>
  <c r="BW225" i="1"/>
  <c r="BJ225" i="1"/>
  <c r="BD225" i="1"/>
  <c r="AP225" i="1"/>
  <c r="AX225" i="1" s="1"/>
  <c r="AO225" i="1"/>
  <c r="BH225" i="1" s="1"/>
  <c r="AK225" i="1"/>
  <c r="AJ225" i="1"/>
  <c r="AH225" i="1"/>
  <c r="AG225" i="1"/>
  <c r="AF225" i="1"/>
  <c r="AE225" i="1"/>
  <c r="AD225" i="1"/>
  <c r="AB225" i="1"/>
  <c r="Z225" i="1"/>
  <c r="O225" i="1"/>
  <c r="BF225" i="1" s="1"/>
  <c r="L225" i="1"/>
  <c r="AL225" i="1" s="1"/>
  <c r="BW223" i="1"/>
  <c r="BJ223" i="1"/>
  <c r="BD223" i="1"/>
  <c r="AP223" i="1"/>
  <c r="AO223" i="1"/>
  <c r="BH223" i="1" s="1"/>
  <c r="AB223" i="1" s="1"/>
  <c r="AK223" i="1"/>
  <c r="AJ223" i="1"/>
  <c r="AH223" i="1"/>
  <c r="AG223" i="1"/>
  <c r="AF223" i="1"/>
  <c r="AE223" i="1"/>
  <c r="AD223" i="1"/>
  <c r="Z223" i="1"/>
  <c r="O223" i="1"/>
  <c r="BF223" i="1" s="1"/>
  <c r="L223" i="1"/>
  <c r="BW222" i="1"/>
  <c r="BJ222" i="1"/>
  <c r="BD222" i="1"/>
  <c r="AP222" i="1"/>
  <c r="AX222" i="1" s="1"/>
  <c r="AO222" i="1"/>
  <c r="AK222" i="1"/>
  <c r="AJ222" i="1"/>
  <c r="AH222" i="1"/>
  <c r="AG222" i="1"/>
  <c r="AF222" i="1"/>
  <c r="AE222" i="1"/>
  <c r="AD222" i="1"/>
  <c r="Z222" i="1"/>
  <c r="O222" i="1"/>
  <c r="BF222" i="1" s="1"/>
  <c r="L222" i="1"/>
  <c r="AL222" i="1" s="1"/>
  <c r="BW221" i="1"/>
  <c r="BJ221" i="1"/>
  <c r="BD221" i="1"/>
  <c r="AP221" i="1"/>
  <c r="BI221" i="1" s="1"/>
  <c r="AC221" i="1" s="1"/>
  <c r="AO221" i="1"/>
  <c r="BH221" i="1" s="1"/>
  <c r="AB221" i="1" s="1"/>
  <c r="AK221" i="1"/>
  <c r="AJ221" i="1"/>
  <c r="AH221" i="1"/>
  <c r="AG221" i="1"/>
  <c r="AF221" i="1"/>
  <c r="AE221" i="1"/>
  <c r="AD221" i="1"/>
  <c r="Z221" i="1"/>
  <c r="O221" i="1"/>
  <c r="BF221" i="1" s="1"/>
  <c r="L221" i="1"/>
  <c r="BW220" i="1"/>
  <c r="BJ220" i="1"/>
  <c r="BD220" i="1"/>
  <c r="AP220" i="1"/>
  <c r="AX220" i="1" s="1"/>
  <c r="AO220" i="1"/>
  <c r="BH220" i="1" s="1"/>
  <c r="AB220" i="1" s="1"/>
  <c r="AK220" i="1"/>
  <c r="AJ220" i="1"/>
  <c r="AH220" i="1"/>
  <c r="AG220" i="1"/>
  <c r="AF220" i="1"/>
  <c r="AE220" i="1"/>
  <c r="AD220" i="1"/>
  <c r="Z220" i="1"/>
  <c r="O220" i="1"/>
  <c r="BF220" i="1" s="1"/>
  <c r="L220" i="1"/>
  <c r="BW219" i="1"/>
  <c r="BJ219" i="1"/>
  <c r="BF219" i="1"/>
  <c r="BD219" i="1"/>
  <c r="AP219" i="1"/>
  <c r="AO219" i="1"/>
  <c r="AK219" i="1"/>
  <c r="AJ219" i="1"/>
  <c r="AH219" i="1"/>
  <c r="AG219" i="1"/>
  <c r="AF219" i="1"/>
  <c r="AE219" i="1"/>
  <c r="AD219" i="1"/>
  <c r="Z219" i="1"/>
  <c r="O219" i="1"/>
  <c r="L219" i="1"/>
  <c r="BW218" i="1"/>
  <c r="BJ218" i="1"/>
  <c r="BD218" i="1"/>
  <c r="AP218" i="1"/>
  <c r="AX218" i="1" s="1"/>
  <c r="AO218" i="1"/>
  <c r="BH218" i="1" s="1"/>
  <c r="AB218" i="1" s="1"/>
  <c r="AK218" i="1"/>
  <c r="AJ218" i="1"/>
  <c r="AH218" i="1"/>
  <c r="AG218" i="1"/>
  <c r="AF218" i="1"/>
  <c r="AE218" i="1"/>
  <c r="AD218" i="1"/>
  <c r="Z218" i="1"/>
  <c r="O218" i="1"/>
  <c r="BF218" i="1" s="1"/>
  <c r="L218" i="1"/>
  <c r="BW217" i="1"/>
  <c r="BJ217" i="1"/>
  <c r="BD217" i="1"/>
  <c r="AP217" i="1"/>
  <c r="BI217" i="1" s="1"/>
  <c r="AC217" i="1" s="1"/>
  <c r="AO217" i="1"/>
  <c r="BH217" i="1" s="1"/>
  <c r="AB217" i="1" s="1"/>
  <c r="AK217" i="1"/>
  <c r="AJ217" i="1"/>
  <c r="AH217" i="1"/>
  <c r="AG217" i="1"/>
  <c r="AF217" i="1"/>
  <c r="AE217" i="1"/>
  <c r="AD217" i="1"/>
  <c r="Z217" i="1"/>
  <c r="O217" i="1"/>
  <c r="BF217" i="1" s="1"/>
  <c r="L217" i="1"/>
  <c r="BW216" i="1"/>
  <c r="BJ216" i="1"/>
  <c r="BD216" i="1"/>
  <c r="AW216" i="1"/>
  <c r="AP216" i="1"/>
  <c r="AO216" i="1"/>
  <c r="BH216" i="1" s="1"/>
  <c r="AB216" i="1" s="1"/>
  <c r="AK216" i="1"/>
  <c r="AJ216" i="1"/>
  <c r="AH216" i="1"/>
  <c r="AG216" i="1"/>
  <c r="AF216" i="1"/>
  <c r="AE216" i="1"/>
  <c r="AD216" i="1"/>
  <c r="Z216" i="1"/>
  <c r="O216" i="1"/>
  <c r="BF216" i="1" s="1"/>
  <c r="L216" i="1"/>
  <c r="AL216" i="1" s="1"/>
  <c r="BW215" i="1"/>
  <c r="BJ215" i="1"/>
  <c r="BD215" i="1"/>
  <c r="AP215" i="1"/>
  <c r="BI215" i="1" s="1"/>
  <c r="AC215" i="1" s="1"/>
  <c r="AO215" i="1"/>
  <c r="AK215" i="1"/>
  <c r="AJ215" i="1"/>
  <c r="AH215" i="1"/>
  <c r="AG215" i="1"/>
  <c r="AF215" i="1"/>
  <c r="AE215" i="1"/>
  <c r="AD215" i="1"/>
  <c r="Z215" i="1"/>
  <c r="O215" i="1"/>
  <c r="BF215" i="1" s="1"/>
  <c r="L215" i="1"/>
  <c r="AL215" i="1" s="1"/>
  <c r="BW214" i="1"/>
  <c r="BJ214" i="1"/>
  <c r="BD214" i="1"/>
  <c r="AP214" i="1"/>
  <c r="AX214" i="1" s="1"/>
  <c r="AO214" i="1"/>
  <c r="BH214" i="1" s="1"/>
  <c r="AB214" i="1" s="1"/>
  <c r="AK214" i="1"/>
  <c r="AJ214" i="1"/>
  <c r="AH214" i="1"/>
  <c r="AG214" i="1"/>
  <c r="AF214" i="1"/>
  <c r="AE214" i="1"/>
  <c r="AD214" i="1"/>
  <c r="Z214" i="1"/>
  <c r="O214" i="1"/>
  <c r="BF214" i="1" s="1"/>
  <c r="L214" i="1"/>
  <c r="BW213" i="1"/>
  <c r="BJ213" i="1"/>
  <c r="BD213" i="1"/>
  <c r="AP213" i="1"/>
  <c r="BI213" i="1" s="1"/>
  <c r="AO213" i="1"/>
  <c r="BH213" i="1" s="1"/>
  <c r="AB213" i="1" s="1"/>
  <c r="AK213" i="1"/>
  <c r="AJ213" i="1"/>
  <c r="AH213" i="1"/>
  <c r="AG213" i="1"/>
  <c r="AF213" i="1"/>
  <c r="AE213" i="1"/>
  <c r="AD213" i="1"/>
  <c r="AC213" i="1"/>
  <c r="Z213" i="1"/>
  <c r="O213" i="1"/>
  <c r="BF213" i="1" s="1"/>
  <c r="L213" i="1"/>
  <c r="BW212" i="1"/>
  <c r="BJ212" i="1"/>
  <c r="BD212" i="1"/>
  <c r="AP212" i="1"/>
  <c r="K212" i="1" s="1"/>
  <c r="AO212" i="1"/>
  <c r="BH212" i="1" s="1"/>
  <c r="AB212" i="1" s="1"/>
  <c r="AK212" i="1"/>
  <c r="AJ212" i="1"/>
  <c r="AH212" i="1"/>
  <c r="AG212" i="1"/>
  <c r="AF212" i="1"/>
  <c r="AE212" i="1"/>
  <c r="AD212" i="1"/>
  <c r="Z212" i="1"/>
  <c r="O212" i="1"/>
  <c r="BF212" i="1" s="1"/>
  <c r="L212" i="1"/>
  <c r="BW211" i="1"/>
  <c r="BJ211" i="1"/>
  <c r="BD211" i="1"/>
  <c r="AP211" i="1"/>
  <c r="AO211" i="1"/>
  <c r="AK211" i="1"/>
  <c r="AJ211" i="1"/>
  <c r="AH211" i="1"/>
  <c r="AG211" i="1"/>
  <c r="AF211" i="1"/>
  <c r="AE211" i="1"/>
  <c r="AD211" i="1"/>
  <c r="Z211" i="1"/>
  <c r="O211" i="1"/>
  <c r="BF211" i="1" s="1"/>
  <c r="L211" i="1"/>
  <c r="BW210" i="1"/>
  <c r="BJ210" i="1"/>
  <c r="BD210" i="1"/>
  <c r="AP210" i="1"/>
  <c r="AX210" i="1" s="1"/>
  <c r="AO210" i="1"/>
  <c r="BH210" i="1" s="1"/>
  <c r="AB210" i="1" s="1"/>
  <c r="AK210" i="1"/>
  <c r="AJ210" i="1"/>
  <c r="AH210" i="1"/>
  <c r="AG210" i="1"/>
  <c r="AF210" i="1"/>
  <c r="AE210" i="1"/>
  <c r="AD210" i="1"/>
  <c r="Z210" i="1"/>
  <c r="O210" i="1"/>
  <c r="BF210" i="1" s="1"/>
  <c r="L210" i="1"/>
  <c r="AL210" i="1" s="1"/>
  <c r="J210" i="1"/>
  <c r="BW208" i="1"/>
  <c r="BJ208" i="1"/>
  <c r="BD208" i="1"/>
  <c r="AP208" i="1"/>
  <c r="BI208" i="1" s="1"/>
  <c r="AC208" i="1" s="1"/>
  <c r="AO208" i="1"/>
  <c r="BH208" i="1" s="1"/>
  <c r="AB208" i="1" s="1"/>
  <c r="AK208" i="1"/>
  <c r="AJ208" i="1"/>
  <c r="AH208" i="1"/>
  <c r="AG208" i="1"/>
  <c r="AF208" i="1"/>
  <c r="AE208" i="1"/>
  <c r="AD208" i="1"/>
  <c r="Z208" i="1"/>
  <c r="O208" i="1"/>
  <c r="L208" i="1"/>
  <c r="AL208" i="1" s="1"/>
  <c r="BW206" i="1"/>
  <c r="BJ206" i="1"/>
  <c r="BD206" i="1"/>
  <c r="AP206" i="1"/>
  <c r="AX206" i="1" s="1"/>
  <c r="AO206" i="1"/>
  <c r="BH206" i="1" s="1"/>
  <c r="AB206" i="1" s="1"/>
  <c r="AK206" i="1"/>
  <c r="AJ206" i="1"/>
  <c r="AH206" i="1"/>
  <c r="AG206" i="1"/>
  <c r="AF206" i="1"/>
  <c r="AE206" i="1"/>
  <c r="AD206" i="1"/>
  <c r="Z206" i="1"/>
  <c r="O206" i="1"/>
  <c r="BF206" i="1" s="1"/>
  <c r="L206" i="1"/>
  <c r="AL206" i="1" s="1"/>
  <c r="BW205" i="1"/>
  <c r="BJ205" i="1"/>
  <c r="BD205" i="1"/>
  <c r="AP205" i="1"/>
  <c r="BI205" i="1" s="1"/>
  <c r="AC205" i="1" s="1"/>
  <c r="AO205" i="1"/>
  <c r="AK205" i="1"/>
  <c r="AJ205" i="1"/>
  <c r="AH205" i="1"/>
  <c r="AG205" i="1"/>
  <c r="AF205" i="1"/>
  <c r="AE205" i="1"/>
  <c r="AD205" i="1"/>
  <c r="Z205" i="1"/>
  <c r="O205" i="1"/>
  <c r="BF205" i="1" s="1"/>
  <c r="L205" i="1"/>
  <c r="AL205" i="1" s="1"/>
  <c r="BW204" i="1"/>
  <c r="BJ204" i="1"/>
  <c r="BD204" i="1"/>
  <c r="AP204" i="1"/>
  <c r="AX204" i="1" s="1"/>
  <c r="AO204" i="1"/>
  <c r="BH204" i="1" s="1"/>
  <c r="AB204" i="1" s="1"/>
  <c r="AK204" i="1"/>
  <c r="AJ204" i="1"/>
  <c r="AH204" i="1"/>
  <c r="AG204" i="1"/>
  <c r="AF204" i="1"/>
  <c r="AE204" i="1"/>
  <c r="AD204" i="1"/>
  <c r="Z204" i="1"/>
  <c r="O204" i="1"/>
  <c r="BF204" i="1" s="1"/>
  <c r="L204" i="1"/>
  <c r="AL204" i="1" s="1"/>
  <c r="BW203" i="1"/>
  <c r="BJ203" i="1"/>
  <c r="BD203" i="1"/>
  <c r="AP203" i="1"/>
  <c r="AO203" i="1"/>
  <c r="BH203" i="1" s="1"/>
  <c r="AB203" i="1" s="1"/>
  <c r="AK203" i="1"/>
  <c r="AJ203" i="1"/>
  <c r="AH203" i="1"/>
  <c r="AG203" i="1"/>
  <c r="AF203" i="1"/>
  <c r="AE203" i="1"/>
  <c r="AD203" i="1"/>
  <c r="Z203" i="1"/>
  <c r="O203" i="1"/>
  <c r="BF203" i="1" s="1"/>
  <c r="L203" i="1"/>
  <c r="AL203" i="1" s="1"/>
  <c r="BW202" i="1"/>
  <c r="BJ202" i="1"/>
  <c r="BD202" i="1"/>
  <c r="AP202" i="1"/>
  <c r="AX202" i="1" s="1"/>
  <c r="AO202" i="1"/>
  <c r="BH202" i="1" s="1"/>
  <c r="AB202" i="1" s="1"/>
  <c r="AK202" i="1"/>
  <c r="AJ202" i="1"/>
  <c r="AH202" i="1"/>
  <c r="AG202" i="1"/>
  <c r="AF202" i="1"/>
  <c r="AE202" i="1"/>
  <c r="AD202" i="1"/>
  <c r="Z202" i="1"/>
  <c r="O202" i="1"/>
  <c r="BF202" i="1" s="1"/>
  <c r="L202" i="1"/>
  <c r="AL202" i="1" s="1"/>
  <c r="BW201" i="1"/>
  <c r="BJ201" i="1"/>
  <c r="BD201" i="1"/>
  <c r="AP201" i="1"/>
  <c r="BI201" i="1" s="1"/>
  <c r="AC201" i="1" s="1"/>
  <c r="AO201" i="1"/>
  <c r="BH201" i="1" s="1"/>
  <c r="AB201" i="1" s="1"/>
  <c r="AK201" i="1"/>
  <c r="AJ201" i="1"/>
  <c r="AH201" i="1"/>
  <c r="AG201" i="1"/>
  <c r="AF201" i="1"/>
  <c r="AE201" i="1"/>
  <c r="AD201" i="1"/>
  <c r="Z201" i="1"/>
  <c r="O201" i="1"/>
  <c r="BF201" i="1" s="1"/>
  <c r="L201" i="1"/>
  <c r="AL201" i="1" s="1"/>
  <c r="BW200" i="1"/>
  <c r="BJ200" i="1"/>
  <c r="BD200" i="1"/>
  <c r="AP200" i="1"/>
  <c r="AO200" i="1"/>
  <c r="AK200" i="1"/>
  <c r="AJ200" i="1"/>
  <c r="AH200" i="1"/>
  <c r="AG200" i="1"/>
  <c r="AF200" i="1"/>
  <c r="AE200" i="1"/>
  <c r="AD200" i="1"/>
  <c r="Z200" i="1"/>
  <c r="O200" i="1"/>
  <c r="BF200" i="1" s="1"/>
  <c r="L200" i="1"/>
  <c r="AL200" i="1" s="1"/>
  <c r="BW199" i="1"/>
  <c r="BJ199" i="1"/>
  <c r="BD199" i="1"/>
  <c r="AP199" i="1"/>
  <c r="BI199" i="1" s="1"/>
  <c r="AC199" i="1" s="1"/>
  <c r="AO199" i="1"/>
  <c r="BH199" i="1" s="1"/>
  <c r="AB199" i="1" s="1"/>
  <c r="AK199" i="1"/>
  <c r="AJ199" i="1"/>
  <c r="AH199" i="1"/>
  <c r="AG199" i="1"/>
  <c r="AF199" i="1"/>
  <c r="AE199" i="1"/>
  <c r="AD199" i="1"/>
  <c r="Z199" i="1"/>
  <c r="O199" i="1"/>
  <c r="BF199" i="1" s="1"/>
  <c r="L199" i="1"/>
  <c r="AL199" i="1" s="1"/>
  <c r="BW198" i="1"/>
  <c r="BJ198" i="1"/>
  <c r="BD198" i="1"/>
  <c r="AP198" i="1"/>
  <c r="AX198" i="1" s="1"/>
  <c r="AO198" i="1"/>
  <c r="BH198" i="1" s="1"/>
  <c r="AB198" i="1" s="1"/>
  <c r="AK198" i="1"/>
  <c r="AJ198" i="1"/>
  <c r="AH198" i="1"/>
  <c r="AG198" i="1"/>
  <c r="AF198" i="1"/>
  <c r="AE198" i="1"/>
  <c r="AD198" i="1"/>
  <c r="Z198" i="1"/>
  <c r="O198" i="1"/>
  <c r="BF198" i="1" s="1"/>
  <c r="L198" i="1"/>
  <c r="AL198" i="1" s="1"/>
  <c r="J198" i="1"/>
  <c r="BW197" i="1"/>
  <c r="BJ197" i="1"/>
  <c r="BD197" i="1"/>
  <c r="AP197" i="1"/>
  <c r="AO197" i="1"/>
  <c r="BH197" i="1" s="1"/>
  <c r="AB197" i="1" s="1"/>
  <c r="AK197" i="1"/>
  <c r="AJ197" i="1"/>
  <c r="AH197" i="1"/>
  <c r="AG197" i="1"/>
  <c r="AF197" i="1"/>
  <c r="AE197" i="1"/>
  <c r="AD197" i="1"/>
  <c r="Z197" i="1"/>
  <c r="O197" i="1"/>
  <c r="BF197" i="1" s="1"/>
  <c r="L197" i="1"/>
  <c r="BW196" i="1"/>
  <c r="BJ196" i="1"/>
  <c r="BD196" i="1"/>
  <c r="AW196" i="1"/>
  <c r="AP196" i="1"/>
  <c r="AX196" i="1" s="1"/>
  <c r="AO196" i="1"/>
  <c r="BH196" i="1" s="1"/>
  <c r="AB196" i="1" s="1"/>
  <c r="AK196" i="1"/>
  <c r="AJ196" i="1"/>
  <c r="AH196" i="1"/>
  <c r="AG196" i="1"/>
  <c r="AF196" i="1"/>
  <c r="AE196" i="1"/>
  <c r="AD196" i="1"/>
  <c r="Z196" i="1"/>
  <c r="O196" i="1"/>
  <c r="BF196" i="1" s="1"/>
  <c r="L196" i="1"/>
  <c r="AL196" i="1" s="1"/>
  <c r="J196" i="1"/>
  <c r="BW195" i="1"/>
  <c r="BJ195" i="1"/>
  <c r="BD195" i="1"/>
  <c r="AP195" i="1"/>
  <c r="BI195" i="1" s="1"/>
  <c r="AC195" i="1" s="1"/>
  <c r="AO195" i="1"/>
  <c r="BH195" i="1" s="1"/>
  <c r="AB195" i="1" s="1"/>
  <c r="AK195" i="1"/>
  <c r="AJ195" i="1"/>
  <c r="AH195" i="1"/>
  <c r="AG195" i="1"/>
  <c r="AF195" i="1"/>
  <c r="AE195" i="1"/>
  <c r="AD195" i="1"/>
  <c r="Z195" i="1"/>
  <c r="O195" i="1"/>
  <c r="BF195" i="1" s="1"/>
  <c r="L195" i="1"/>
  <c r="AL195" i="1" s="1"/>
  <c r="BW194" i="1"/>
  <c r="BJ194" i="1"/>
  <c r="BD194" i="1"/>
  <c r="AP194" i="1"/>
  <c r="AX194" i="1" s="1"/>
  <c r="AO194" i="1"/>
  <c r="BH194" i="1" s="1"/>
  <c r="AB194" i="1" s="1"/>
  <c r="AK194" i="1"/>
  <c r="AJ194" i="1"/>
  <c r="AH194" i="1"/>
  <c r="AG194" i="1"/>
  <c r="AF194" i="1"/>
  <c r="AE194" i="1"/>
  <c r="AD194" i="1"/>
  <c r="Z194" i="1"/>
  <c r="O194" i="1"/>
  <c r="BF194" i="1" s="1"/>
  <c r="L194" i="1"/>
  <c r="BW193" i="1"/>
  <c r="BJ193" i="1"/>
  <c r="BD193" i="1"/>
  <c r="AP193" i="1"/>
  <c r="BI193" i="1" s="1"/>
  <c r="AC193" i="1" s="1"/>
  <c r="AO193" i="1"/>
  <c r="AK193" i="1"/>
  <c r="AJ193" i="1"/>
  <c r="AH193" i="1"/>
  <c r="AG193" i="1"/>
  <c r="AF193" i="1"/>
  <c r="AE193" i="1"/>
  <c r="AD193" i="1"/>
  <c r="Z193" i="1"/>
  <c r="O193" i="1"/>
  <c r="BF193" i="1" s="1"/>
  <c r="L193" i="1"/>
  <c r="BW192" i="1"/>
  <c r="BJ192" i="1"/>
  <c r="BD192" i="1"/>
  <c r="AP192" i="1"/>
  <c r="AX192" i="1" s="1"/>
  <c r="AO192" i="1"/>
  <c r="BH192" i="1" s="1"/>
  <c r="AB192" i="1" s="1"/>
  <c r="AK192" i="1"/>
  <c r="AJ192" i="1"/>
  <c r="AH192" i="1"/>
  <c r="AG192" i="1"/>
  <c r="AF192" i="1"/>
  <c r="AE192" i="1"/>
  <c r="AD192" i="1"/>
  <c r="Z192" i="1"/>
  <c r="O192" i="1"/>
  <c r="BF192" i="1" s="1"/>
  <c r="L192" i="1"/>
  <c r="AL192" i="1" s="1"/>
  <c r="K192" i="1"/>
  <c r="J192" i="1"/>
  <c r="BW191" i="1"/>
  <c r="BJ191" i="1"/>
  <c r="BD191" i="1"/>
  <c r="AP191" i="1"/>
  <c r="BI191" i="1" s="1"/>
  <c r="AC191" i="1" s="1"/>
  <c r="AO191" i="1"/>
  <c r="BH191" i="1" s="1"/>
  <c r="AB191" i="1" s="1"/>
  <c r="AK191" i="1"/>
  <c r="AJ191" i="1"/>
  <c r="AH191" i="1"/>
  <c r="AG191" i="1"/>
  <c r="AF191" i="1"/>
  <c r="AE191" i="1"/>
  <c r="AD191" i="1"/>
  <c r="Z191" i="1"/>
  <c r="O191" i="1"/>
  <c r="BF191" i="1" s="1"/>
  <c r="L191" i="1"/>
  <c r="AL191" i="1" s="1"/>
  <c r="BW190" i="1"/>
  <c r="BJ190" i="1"/>
  <c r="BD190" i="1"/>
  <c r="AP190" i="1"/>
  <c r="AO190" i="1"/>
  <c r="BH190" i="1" s="1"/>
  <c r="AB190" i="1" s="1"/>
  <c r="AK190" i="1"/>
  <c r="AJ190" i="1"/>
  <c r="AH190" i="1"/>
  <c r="AG190" i="1"/>
  <c r="AF190" i="1"/>
  <c r="AE190" i="1"/>
  <c r="AD190" i="1"/>
  <c r="Z190" i="1"/>
  <c r="O190" i="1"/>
  <c r="BF190" i="1" s="1"/>
  <c r="L190" i="1"/>
  <c r="AL190" i="1" s="1"/>
  <c r="BW189" i="1"/>
  <c r="BJ189" i="1"/>
  <c r="BD189" i="1"/>
  <c r="AP189" i="1"/>
  <c r="BI189" i="1" s="1"/>
  <c r="AC189" i="1" s="1"/>
  <c r="AO189" i="1"/>
  <c r="AK189" i="1"/>
  <c r="AJ189" i="1"/>
  <c r="AH189" i="1"/>
  <c r="AG189" i="1"/>
  <c r="AF189" i="1"/>
  <c r="AE189" i="1"/>
  <c r="AD189" i="1"/>
  <c r="Z189" i="1"/>
  <c r="O189" i="1"/>
  <c r="BF189" i="1" s="1"/>
  <c r="L189" i="1"/>
  <c r="AL189" i="1" s="1"/>
  <c r="BW188" i="1"/>
  <c r="BJ188" i="1"/>
  <c r="BD188" i="1"/>
  <c r="AP188" i="1"/>
  <c r="AX188" i="1" s="1"/>
  <c r="AO188" i="1"/>
  <c r="AW188" i="1" s="1"/>
  <c r="AK188" i="1"/>
  <c r="AJ188" i="1"/>
  <c r="AH188" i="1"/>
  <c r="AG188" i="1"/>
  <c r="AF188" i="1"/>
  <c r="AE188" i="1"/>
  <c r="AD188" i="1"/>
  <c r="Z188" i="1"/>
  <c r="O188" i="1"/>
  <c r="BF188" i="1" s="1"/>
  <c r="L188" i="1"/>
  <c r="AL188" i="1" s="1"/>
  <c r="BW187" i="1"/>
  <c r="BJ187" i="1"/>
  <c r="BD187" i="1"/>
  <c r="AP187" i="1"/>
  <c r="K187" i="1" s="1"/>
  <c r="AO187" i="1"/>
  <c r="BH187" i="1" s="1"/>
  <c r="AB187" i="1" s="1"/>
  <c r="AK187" i="1"/>
  <c r="AJ187" i="1"/>
  <c r="AH187" i="1"/>
  <c r="AG187" i="1"/>
  <c r="AF187" i="1"/>
  <c r="AE187" i="1"/>
  <c r="AD187" i="1"/>
  <c r="Z187" i="1"/>
  <c r="O187" i="1"/>
  <c r="BF187" i="1" s="1"/>
  <c r="L187" i="1"/>
  <c r="AL187" i="1" s="1"/>
  <c r="BW186" i="1"/>
  <c r="BJ186" i="1"/>
  <c r="BD186" i="1"/>
  <c r="AP186" i="1"/>
  <c r="BI186" i="1" s="1"/>
  <c r="AC186" i="1" s="1"/>
  <c r="AO186" i="1"/>
  <c r="AL186" i="1"/>
  <c r="AK186" i="1"/>
  <c r="AJ186" i="1"/>
  <c r="AH186" i="1"/>
  <c r="AG186" i="1"/>
  <c r="AF186" i="1"/>
  <c r="AE186" i="1"/>
  <c r="AD186" i="1"/>
  <c r="Z186" i="1"/>
  <c r="O186" i="1"/>
  <c r="BF186" i="1" s="1"/>
  <c r="L186" i="1"/>
  <c r="BW185" i="1"/>
  <c r="BJ185" i="1"/>
  <c r="BD185" i="1"/>
  <c r="AP185" i="1"/>
  <c r="AX185" i="1" s="1"/>
  <c r="AO185" i="1"/>
  <c r="BH185" i="1" s="1"/>
  <c r="AB185" i="1" s="1"/>
  <c r="AK185" i="1"/>
  <c r="AJ185" i="1"/>
  <c r="AH185" i="1"/>
  <c r="AG185" i="1"/>
  <c r="AF185" i="1"/>
  <c r="AE185" i="1"/>
  <c r="AD185" i="1"/>
  <c r="Z185" i="1"/>
  <c r="O185" i="1"/>
  <c r="BF185" i="1" s="1"/>
  <c r="L185" i="1"/>
  <c r="BW184" i="1"/>
  <c r="BJ184" i="1"/>
  <c r="BD184" i="1"/>
  <c r="AP184" i="1"/>
  <c r="AO184" i="1"/>
  <c r="AK184" i="1"/>
  <c r="AJ184" i="1"/>
  <c r="AH184" i="1"/>
  <c r="AG184" i="1"/>
  <c r="AF184" i="1"/>
  <c r="AE184" i="1"/>
  <c r="AD184" i="1"/>
  <c r="Z184" i="1"/>
  <c r="O184" i="1"/>
  <c r="BF184" i="1" s="1"/>
  <c r="L184" i="1"/>
  <c r="AL184" i="1" s="1"/>
  <c r="BW183" i="1"/>
  <c r="BJ183" i="1"/>
  <c r="BD183" i="1"/>
  <c r="AP183" i="1"/>
  <c r="AX183" i="1" s="1"/>
  <c r="AO183" i="1"/>
  <c r="BH183" i="1" s="1"/>
  <c r="AB183" i="1" s="1"/>
  <c r="AK183" i="1"/>
  <c r="AJ183" i="1"/>
  <c r="AH183" i="1"/>
  <c r="AG183" i="1"/>
  <c r="AF183" i="1"/>
  <c r="AE183" i="1"/>
  <c r="AD183" i="1"/>
  <c r="Z183" i="1"/>
  <c r="O183" i="1"/>
  <c r="BF183" i="1" s="1"/>
  <c r="L183" i="1"/>
  <c r="AL183" i="1" s="1"/>
  <c r="BW182" i="1"/>
  <c r="BJ182" i="1"/>
  <c r="BD182" i="1"/>
  <c r="AP182" i="1"/>
  <c r="BI182" i="1" s="1"/>
  <c r="AC182" i="1" s="1"/>
  <c r="AO182" i="1"/>
  <c r="BH182" i="1" s="1"/>
  <c r="AB182" i="1" s="1"/>
  <c r="AK182" i="1"/>
  <c r="AJ182" i="1"/>
  <c r="AH182" i="1"/>
  <c r="AG182" i="1"/>
  <c r="AF182" i="1"/>
  <c r="AE182" i="1"/>
  <c r="AD182" i="1"/>
  <c r="Z182" i="1"/>
  <c r="O182" i="1"/>
  <c r="BF182" i="1" s="1"/>
  <c r="L182" i="1"/>
  <c r="AL182" i="1" s="1"/>
  <c r="BW181" i="1"/>
  <c r="BJ181" i="1"/>
  <c r="BD181" i="1"/>
  <c r="AP181" i="1"/>
  <c r="AO181" i="1"/>
  <c r="J181" i="1" s="1"/>
  <c r="AK181" i="1"/>
  <c r="AJ181" i="1"/>
  <c r="AH181" i="1"/>
  <c r="AG181" i="1"/>
  <c r="AF181" i="1"/>
  <c r="AE181" i="1"/>
  <c r="AD181" i="1"/>
  <c r="Z181" i="1"/>
  <c r="O181" i="1"/>
  <c r="BF181" i="1" s="1"/>
  <c r="L181" i="1"/>
  <c r="M181" i="1" s="1"/>
  <c r="BW180" i="1"/>
  <c r="BJ180" i="1"/>
  <c r="BD180" i="1"/>
  <c r="AP180" i="1"/>
  <c r="AO180" i="1"/>
  <c r="AK180" i="1"/>
  <c r="AJ180" i="1"/>
  <c r="AH180" i="1"/>
  <c r="AG180" i="1"/>
  <c r="AF180" i="1"/>
  <c r="AE180" i="1"/>
  <c r="AD180" i="1"/>
  <c r="Z180" i="1"/>
  <c r="O180" i="1"/>
  <c r="BF180" i="1" s="1"/>
  <c r="L180" i="1"/>
  <c r="AL180" i="1" s="1"/>
  <c r="BW179" i="1"/>
  <c r="BJ179" i="1"/>
  <c r="BI179" i="1"/>
  <c r="AC179" i="1" s="1"/>
  <c r="BD179" i="1"/>
  <c r="AP179" i="1"/>
  <c r="AX179" i="1" s="1"/>
  <c r="AO179" i="1"/>
  <c r="BH179" i="1" s="1"/>
  <c r="AB179" i="1" s="1"/>
  <c r="AK179" i="1"/>
  <c r="AJ179" i="1"/>
  <c r="AH179" i="1"/>
  <c r="AG179" i="1"/>
  <c r="AF179" i="1"/>
  <c r="AE179" i="1"/>
  <c r="AD179" i="1"/>
  <c r="Z179" i="1"/>
  <c r="O179" i="1"/>
  <c r="BF179" i="1" s="1"/>
  <c r="L179" i="1"/>
  <c r="AL179" i="1" s="1"/>
  <c r="BW178" i="1"/>
  <c r="BJ178" i="1"/>
  <c r="BD178" i="1"/>
  <c r="AP178" i="1"/>
  <c r="BI178" i="1" s="1"/>
  <c r="AC178" i="1" s="1"/>
  <c r="AO178" i="1"/>
  <c r="BH178" i="1" s="1"/>
  <c r="AB178" i="1" s="1"/>
  <c r="AK178" i="1"/>
  <c r="AJ178" i="1"/>
  <c r="AH178" i="1"/>
  <c r="AG178" i="1"/>
  <c r="AF178" i="1"/>
  <c r="AE178" i="1"/>
  <c r="AD178" i="1"/>
  <c r="Z178" i="1"/>
  <c r="O178" i="1"/>
  <c r="BF178" i="1" s="1"/>
  <c r="L178" i="1"/>
  <c r="AL178" i="1" s="1"/>
  <c r="BW177" i="1"/>
  <c r="BJ177" i="1"/>
  <c r="BF177" i="1"/>
  <c r="BD177" i="1"/>
  <c r="AP177" i="1"/>
  <c r="AX177" i="1" s="1"/>
  <c r="AO177" i="1"/>
  <c r="AK177" i="1"/>
  <c r="AJ177" i="1"/>
  <c r="AH177" i="1"/>
  <c r="AG177" i="1"/>
  <c r="AF177" i="1"/>
  <c r="AE177" i="1"/>
  <c r="AD177" i="1"/>
  <c r="Z177" i="1"/>
  <c r="O177" i="1"/>
  <c r="L177" i="1"/>
  <c r="AL177" i="1" s="1"/>
  <c r="BW176" i="1"/>
  <c r="BJ176" i="1"/>
  <c r="BD176" i="1"/>
  <c r="AP176" i="1"/>
  <c r="BI176" i="1" s="1"/>
  <c r="AC176" i="1" s="1"/>
  <c r="AO176" i="1"/>
  <c r="BH176" i="1" s="1"/>
  <c r="AB176" i="1" s="1"/>
  <c r="AK176" i="1"/>
  <c r="AJ176" i="1"/>
  <c r="AH176" i="1"/>
  <c r="AG176" i="1"/>
  <c r="AF176" i="1"/>
  <c r="AE176" i="1"/>
  <c r="AD176" i="1"/>
  <c r="Z176" i="1"/>
  <c r="O176" i="1"/>
  <c r="BF176" i="1" s="1"/>
  <c r="L176" i="1"/>
  <c r="AL176" i="1" s="1"/>
  <c r="BW175" i="1"/>
  <c r="BJ175" i="1"/>
  <c r="BD175" i="1"/>
  <c r="AP175" i="1"/>
  <c r="AX175" i="1" s="1"/>
  <c r="AO175" i="1"/>
  <c r="BH175" i="1" s="1"/>
  <c r="AB175" i="1" s="1"/>
  <c r="AK175" i="1"/>
  <c r="AJ175" i="1"/>
  <c r="AH175" i="1"/>
  <c r="AG175" i="1"/>
  <c r="AF175" i="1"/>
  <c r="AE175" i="1"/>
  <c r="AD175" i="1"/>
  <c r="Z175" i="1"/>
  <c r="O175" i="1"/>
  <c r="BF175" i="1" s="1"/>
  <c r="M175" i="1"/>
  <c r="L175" i="1"/>
  <c r="AL175" i="1" s="1"/>
  <c r="BW174" i="1"/>
  <c r="BJ174" i="1"/>
  <c r="BD174" i="1"/>
  <c r="AP174" i="1"/>
  <c r="BI174" i="1" s="1"/>
  <c r="AC174" i="1" s="1"/>
  <c r="AO174" i="1"/>
  <c r="AK174" i="1"/>
  <c r="AJ174" i="1"/>
  <c r="AH174" i="1"/>
  <c r="AG174" i="1"/>
  <c r="AF174" i="1"/>
  <c r="AE174" i="1"/>
  <c r="AD174" i="1"/>
  <c r="Z174" i="1"/>
  <c r="O174" i="1"/>
  <c r="BF174" i="1" s="1"/>
  <c r="L174" i="1"/>
  <c r="AL174" i="1" s="1"/>
  <c r="BW173" i="1"/>
  <c r="BJ173" i="1"/>
  <c r="BD173" i="1"/>
  <c r="AP173" i="1"/>
  <c r="AX173" i="1" s="1"/>
  <c r="AO173" i="1"/>
  <c r="BH173" i="1" s="1"/>
  <c r="AB173" i="1" s="1"/>
  <c r="AK173" i="1"/>
  <c r="AJ173" i="1"/>
  <c r="AH173" i="1"/>
  <c r="AG173" i="1"/>
  <c r="AF173" i="1"/>
  <c r="AE173" i="1"/>
  <c r="AD173" i="1"/>
  <c r="Z173" i="1"/>
  <c r="O173" i="1"/>
  <c r="BF173" i="1" s="1"/>
  <c r="L173" i="1"/>
  <c r="AL173" i="1" s="1"/>
  <c r="BW172" i="1"/>
  <c r="BJ172" i="1"/>
  <c r="BD172" i="1"/>
  <c r="AP172" i="1"/>
  <c r="AO172" i="1"/>
  <c r="AK172" i="1"/>
  <c r="AJ172" i="1"/>
  <c r="AH172" i="1"/>
  <c r="AG172" i="1"/>
  <c r="AF172" i="1"/>
  <c r="AE172" i="1"/>
  <c r="AD172" i="1"/>
  <c r="Z172" i="1"/>
  <c r="O172" i="1"/>
  <c r="BF172" i="1" s="1"/>
  <c r="L172" i="1"/>
  <c r="AL172" i="1" s="1"/>
  <c r="BW171" i="1"/>
  <c r="BJ171" i="1"/>
  <c r="BD171" i="1"/>
  <c r="AP171" i="1"/>
  <c r="AX171" i="1" s="1"/>
  <c r="AO171" i="1"/>
  <c r="BH171" i="1" s="1"/>
  <c r="AB171" i="1" s="1"/>
  <c r="AK171" i="1"/>
  <c r="AJ171" i="1"/>
  <c r="AH171" i="1"/>
  <c r="AG171" i="1"/>
  <c r="AF171" i="1"/>
  <c r="AE171" i="1"/>
  <c r="AD171" i="1"/>
  <c r="Z171" i="1"/>
  <c r="O171" i="1"/>
  <c r="BF171" i="1" s="1"/>
  <c r="L171" i="1"/>
  <c r="AL171" i="1" s="1"/>
  <c r="BW170" i="1"/>
  <c r="BJ170" i="1"/>
  <c r="BD170" i="1"/>
  <c r="AP170" i="1"/>
  <c r="K170" i="1" s="1"/>
  <c r="AO170" i="1"/>
  <c r="AK170" i="1"/>
  <c r="AJ170" i="1"/>
  <c r="AH170" i="1"/>
  <c r="AG170" i="1"/>
  <c r="AF170" i="1"/>
  <c r="AE170" i="1"/>
  <c r="AD170" i="1"/>
  <c r="Z170" i="1"/>
  <c r="O170" i="1"/>
  <c r="BF170" i="1" s="1"/>
  <c r="L170" i="1"/>
  <c r="AL170" i="1" s="1"/>
  <c r="BW169" i="1"/>
  <c r="BJ169" i="1"/>
  <c r="BD169" i="1"/>
  <c r="AP169" i="1"/>
  <c r="AO169" i="1"/>
  <c r="J169" i="1" s="1"/>
  <c r="AK169" i="1"/>
  <c r="AJ169" i="1"/>
  <c r="AH169" i="1"/>
  <c r="AG169" i="1"/>
  <c r="AF169" i="1"/>
  <c r="AE169" i="1"/>
  <c r="AD169" i="1"/>
  <c r="Z169" i="1"/>
  <c r="O169" i="1"/>
  <c r="BF169" i="1" s="1"/>
  <c r="L169" i="1"/>
  <c r="AL169" i="1" s="1"/>
  <c r="BW168" i="1"/>
  <c r="BJ168" i="1"/>
  <c r="BF168" i="1"/>
  <c r="BD168" i="1"/>
  <c r="AP168" i="1"/>
  <c r="K168" i="1" s="1"/>
  <c r="AO168" i="1"/>
  <c r="BH168" i="1" s="1"/>
  <c r="AB168" i="1" s="1"/>
  <c r="AK168" i="1"/>
  <c r="AJ168" i="1"/>
  <c r="AH168" i="1"/>
  <c r="AG168" i="1"/>
  <c r="AF168" i="1"/>
  <c r="AE168" i="1"/>
  <c r="AD168" i="1"/>
  <c r="Z168" i="1"/>
  <c r="O168" i="1"/>
  <c r="L168" i="1"/>
  <c r="AL168" i="1" s="1"/>
  <c r="BW167" i="1"/>
  <c r="BJ167" i="1"/>
  <c r="BD167" i="1"/>
  <c r="AP167" i="1"/>
  <c r="AX167" i="1" s="1"/>
  <c r="AO167" i="1"/>
  <c r="AK167" i="1"/>
  <c r="AJ167" i="1"/>
  <c r="AH167" i="1"/>
  <c r="AG167" i="1"/>
  <c r="AF167" i="1"/>
  <c r="AE167" i="1"/>
  <c r="AD167" i="1"/>
  <c r="Z167" i="1"/>
  <c r="O167" i="1"/>
  <c r="BF167" i="1" s="1"/>
  <c r="L167" i="1"/>
  <c r="AL167" i="1" s="1"/>
  <c r="BW166" i="1"/>
  <c r="BJ166" i="1"/>
  <c r="BD166" i="1"/>
  <c r="AP166" i="1"/>
  <c r="BI166" i="1" s="1"/>
  <c r="AC166" i="1" s="1"/>
  <c r="AO166" i="1"/>
  <c r="BH166" i="1" s="1"/>
  <c r="AB166" i="1" s="1"/>
  <c r="AK166" i="1"/>
  <c r="AJ166" i="1"/>
  <c r="AH166" i="1"/>
  <c r="AG166" i="1"/>
  <c r="AF166" i="1"/>
  <c r="AE166" i="1"/>
  <c r="AD166" i="1"/>
  <c r="Z166" i="1"/>
  <c r="O166" i="1"/>
  <c r="BF166" i="1" s="1"/>
  <c r="L166" i="1"/>
  <c r="AL166" i="1" s="1"/>
  <c r="BW165" i="1"/>
  <c r="BJ165" i="1"/>
  <c r="BD165" i="1"/>
  <c r="AP165" i="1"/>
  <c r="AX165" i="1" s="1"/>
  <c r="AO165" i="1"/>
  <c r="AK165" i="1"/>
  <c r="AJ165" i="1"/>
  <c r="AH165" i="1"/>
  <c r="AG165" i="1"/>
  <c r="AF165" i="1"/>
  <c r="AE165" i="1"/>
  <c r="AD165" i="1"/>
  <c r="Z165" i="1"/>
  <c r="O165" i="1"/>
  <c r="BF165" i="1" s="1"/>
  <c r="L165" i="1"/>
  <c r="AL165" i="1" s="1"/>
  <c r="BW164" i="1"/>
  <c r="BJ164" i="1"/>
  <c r="BD164" i="1"/>
  <c r="AP164" i="1"/>
  <c r="AO164" i="1"/>
  <c r="BH164" i="1" s="1"/>
  <c r="AB164" i="1" s="1"/>
  <c r="AK164" i="1"/>
  <c r="AJ164" i="1"/>
  <c r="AH164" i="1"/>
  <c r="AG164" i="1"/>
  <c r="AF164" i="1"/>
  <c r="AE164" i="1"/>
  <c r="AD164" i="1"/>
  <c r="Z164" i="1"/>
  <c r="O164" i="1"/>
  <c r="BF164" i="1" s="1"/>
  <c r="L164" i="1"/>
  <c r="AL164" i="1" s="1"/>
  <c r="BW163" i="1"/>
  <c r="BJ163" i="1"/>
  <c r="BD163" i="1"/>
  <c r="AP163" i="1"/>
  <c r="AX163" i="1" s="1"/>
  <c r="AO163" i="1"/>
  <c r="BH163" i="1" s="1"/>
  <c r="AB163" i="1" s="1"/>
  <c r="AK163" i="1"/>
  <c r="AJ163" i="1"/>
  <c r="AH163" i="1"/>
  <c r="AG163" i="1"/>
  <c r="AF163" i="1"/>
  <c r="AE163" i="1"/>
  <c r="AD163" i="1"/>
  <c r="Z163" i="1"/>
  <c r="O163" i="1"/>
  <c r="BF163" i="1" s="1"/>
  <c r="L163" i="1"/>
  <c r="AL163" i="1" s="1"/>
  <c r="BW162" i="1"/>
  <c r="BJ162" i="1"/>
  <c r="BD162" i="1"/>
  <c r="AP162" i="1"/>
  <c r="AO162" i="1"/>
  <c r="J162" i="1" s="1"/>
  <c r="AK162" i="1"/>
  <c r="AJ162" i="1"/>
  <c r="AH162" i="1"/>
  <c r="AG162" i="1"/>
  <c r="AF162" i="1"/>
  <c r="AE162" i="1"/>
  <c r="AD162" i="1"/>
  <c r="Z162" i="1"/>
  <c r="O162" i="1"/>
  <c r="BF162" i="1" s="1"/>
  <c r="L162" i="1"/>
  <c r="AL162" i="1" s="1"/>
  <c r="BW161" i="1"/>
  <c r="BJ161" i="1"/>
  <c r="BD161" i="1"/>
  <c r="AP161" i="1"/>
  <c r="AX161" i="1" s="1"/>
  <c r="AO161" i="1"/>
  <c r="BH161" i="1" s="1"/>
  <c r="AB161" i="1" s="1"/>
  <c r="AK161" i="1"/>
  <c r="AJ161" i="1"/>
  <c r="AH161" i="1"/>
  <c r="AG161" i="1"/>
  <c r="AF161" i="1"/>
  <c r="AE161" i="1"/>
  <c r="AD161" i="1"/>
  <c r="Z161" i="1"/>
  <c r="O161" i="1"/>
  <c r="BF161" i="1" s="1"/>
  <c r="L161" i="1"/>
  <c r="AL161" i="1" s="1"/>
  <c r="BW160" i="1"/>
  <c r="BJ160" i="1"/>
  <c r="BD160" i="1"/>
  <c r="AP160" i="1"/>
  <c r="BI160" i="1" s="1"/>
  <c r="AC160" i="1" s="1"/>
  <c r="AO160" i="1"/>
  <c r="BH160" i="1" s="1"/>
  <c r="AB160" i="1" s="1"/>
  <c r="AK160" i="1"/>
  <c r="AJ160" i="1"/>
  <c r="AH160" i="1"/>
  <c r="AG160" i="1"/>
  <c r="AF160" i="1"/>
  <c r="AE160" i="1"/>
  <c r="AD160" i="1"/>
  <c r="Z160" i="1"/>
  <c r="O160" i="1"/>
  <c r="BF160" i="1" s="1"/>
  <c r="L160" i="1"/>
  <c r="AL160" i="1" s="1"/>
  <c r="BW159" i="1"/>
  <c r="BJ159" i="1"/>
  <c r="BD159" i="1"/>
  <c r="AP159" i="1"/>
  <c r="AX159" i="1" s="1"/>
  <c r="AO159" i="1"/>
  <c r="BH159" i="1" s="1"/>
  <c r="AB159" i="1" s="1"/>
  <c r="AK159" i="1"/>
  <c r="AJ159" i="1"/>
  <c r="AH159" i="1"/>
  <c r="AG159" i="1"/>
  <c r="AF159" i="1"/>
  <c r="AE159" i="1"/>
  <c r="AD159" i="1"/>
  <c r="Z159" i="1"/>
  <c r="O159" i="1"/>
  <c r="BF159" i="1" s="1"/>
  <c r="L159" i="1"/>
  <c r="AL159" i="1" s="1"/>
  <c r="BW158" i="1"/>
  <c r="BJ158" i="1"/>
  <c r="BD158" i="1"/>
  <c r="AP158" i="1"/>
  <c r="BI158" i="1" s="1"/>
  <c r="AC158" i="1" s="1"/>
  <c r="AO158" i="1"/>
  <c r="BH158" i="1" s="1"/>
  <c r="AB158" i="1" s="1"/>
  <c r="AK158" i="1"/>
  <c r="AJ158" i="1"/>
  <c r="AH158" i="1"/>
  <c r="AG158" i="1"/>
  <c r="AF158" i="1"/>
  <c r="AE158" i="1"/>
  <c r="AD158" i="1"/>
  <c r="Z158" i="1"/>
  <c r="O158" i="1"/>
  <c r="BF158" i="1" s="1"/>
  <c r="L158" i="1"/>
  <c r="AL158" i="1" s="1"/>
  <c r="BW157" i="1"/>
  <c r="BJ157" i="1"/>
  <c r="BD157" i="1"/>
  <c r="AP157" i="1"/>
  <c r="AO157" i="1"/>
  <c r="BH157" i="1" s="1"/>
  <c r="AB157" i="1" s="1"/>
  <c r="AK157" i="1"/>
  <c r="AJ157" i="1"/>
  <c r="AH157" i="1"/>
  <c r="AG157" i="1"/>
  <c r="AF157" i="1"/>
  <c r="AE157" i="1"/>
  <c r="AD157" i="1"/>
  <c r="Z157" i="1"/>
  <c r="O157" i="1"/>
  <c r="BF157" i="1" s="1"/>
  <c r="L157" i="1"/>
  <c r="BW156" i="1"/>
  <c r="BJ156" i="1"/>
  <c r="BD156" i="1"/>
  <c r="AP156" i="1"/>
  <c r="BI156" i="1" s="1"/>
  <c r="AC156" i="1" s="1"/>
  <c r="AO156" i="1"/>
  <c r="BH156" i="1" s="1"/>
  <c r="AB156" i="1" s="1"/>
  <c r="AK156" i="1"/>
  <c r="AJ156" i="1"/>
  <c r="AH156" i="1"/>
  <c r="AG156" i="1"/>
  <c r="AF156" i="1"/>
  <c r="AE156" i="1"/>
  <c r="AD156" i="1"/>
  <c r="Z156" i="1"/>
  <c r="O156" i="1"/>
  <c r="BF156" i="1" s="1"/>
  <c r="L156" i="1"/>
  <c r="AL156" i="1" s="1"/>
  <c r="BW155" i="1"/>
  <c r="BJ155" i="1"/>
  <c r="BF155" i="1"/>
  <c r="BD155" i="1"/>
  <c r="AP155" i="1"/>
  <c r="AX155" i="1" s="1"/>
  <c r="AO155" i="1"/>
  <c r="BH155" i="1" s="1"/>
  <c r="AB155" i="1" s="1"/>
  <c r="AK155" i="1"/>
  <c r="AJ155" i="1"/>
  <c r="AH155" i="1"/>
  <c r="AG155" i="1"/>
  <c r="AF155" i="1"/>
  <c r="AE155" i="1"/>
  <c r="AD155" i="1"/>
  <c r="Z155" i="1"/>
  <c r="O155" i="1"/>
  <c r="L155" i="1"/>
  <c r="AL155" i="1" s="1"/>
  <c r="K155" i="1"/>
  <c r="BW154" i="1"/>
  <c r="BJ154" i="1"/>
  <c r="BD154" i="1"/>
  <c r="AP154" i="1"/>
  <c r="BI154" i="1" s="1"/>
  <c r="AC154" i="1" s="1"/>
  <c r="AO154" i="1"/>
  <c r="BH154" i="1" s="1"/>
  <c r="AB154" i="1" s="1"/>
  <c r="AK154" i="1"/>
  <c r="AJ154" i="1"/>
  <c r="AH154" i="1"/>
  <c r="AG154" i="1"/>
  <c r="AF154" i="1"/>
  <c r="AE154" i="1"/>
  <c r="AD154" i="1"/>
  <c r="Z154" i="1"/>
  <c r="O154" i="1"/>
  <c r="BF154" i="1" s="1"/>
  <c r="L154" i="1"/>
  <c r="AL154" i="1" s="1"/>
  <c r="BW153" i="1"/>
  <c r="BJ153" i="1"/>
  <c r="BD153" i="1"/>
  <c r="AP153" i="1"/>
  <c r="AO153" i="1"/>
  <c r="BH153" i="1" s="1"/>
  <c r="AB153" i="1" s="1"/>
  <c r="AK153" i="1"/>
  <c r="AJ153" i="1"/>
  <c r="AH153" i="1"/>
  <c r="AG153" i="1"/>
  <c r="AF153" i="1"/>
  <c r="AE153" i="1"/>
  <c r="AD153" i="1"/>
  <c r="Z153" i="1"/>
  <c r="O153" i="1"/>
  <c r="BF153" i="1" s="1"/>
  <c r="L153" i="1"/>
  <c r="AL153" i="1" s="1"/>
  <c r="BW152" i="1"/>
  <c r="BJ152" i="1"/>
  <c r="BD152" i="1"/>
  <c r="AP152" i="1"/>
  <c r="BI152" i="1" s="1"/>
  <c r="AC152" i="1" s="1"/>
  <c r="AO152" i="1"/>
  <c r="BH152" i="1" s="1"/>
  <c r="AB152" i="1" s="1"/>
  <c r="AK152" i="1"/>
  <c r="AJ152" i="1"/>
  <c r="AH152" i="1"/>
  <c r="AG152" i="1"/>
  <c r="AF152" i="1"/>
  <c r="AE152" i="1"/>
  <c r="AD152" i="1"/>
  <c r="Z152" i="1"/>
  <c r="O152" i="1"/>
  <c r="BF152" i="1" s="1"/>
  <c r="L152" i="1"/>
  <c r="AL152" i="1" s="1"/>
  <c r="BW151" i="1"/>
  <c r="BJ151" i="1"/>
  <c r="BD151" i="1"/>
  <c r="AP151" i="1"/>
  <c r="AX151" i="1" s="1"/>
  <c r="AO151" i="1"/>
  <c r="BH151" i="1" s="1"/>
  <c r="AB151" i="1" s="1"/>
  <c r="AK151" i="1"/>
  <c r="AJ151" i="1"/>
  <c r="AH151" i="1"/>
  <c r="AG151" i="1"/>
  <c r="AF151" i="1"/>
  <c r="AE151" i="1"/>
  <c r="AD151" i="1"/>
  <c r="Z151" i="1"/>
  <c r="O151" i="1"/>
  <c r="BF151" i="1" s="1"/>
  <c r="L151" i="1"/>
  <c r="AL151" i="1" s="1"/>
  <c r="BW147" i="1"/>
  <c r="BJ147" i="1"/>
  <c r="BD147" i="1"/>
  <c r="AP147" i="1"/>
  <c r="BI147" i="1" s="1"/>
  <c r="AC147" i="1" s="1"/>
  <c r="AO147" i="1"/>
  <c r="BH147" i="1" s="1"/>
  <c r="AB147" i="1" s="1"/>
  <c r="AK147" i="1"/>
  <c r="AJ147" i="1"/>
  <c r="AH147" i="1"/>
  <c r="AG147" i="1"/>
  <c r="AF147" i="1"/>
  <c r="AE147" i="1"/>
  <c r="AD147" i="1"/>
  <c r="Z147" i="1"/>
  <c r="O147" i="1"/>
  <c r="BF147" i="1" s="1"/>
  <c r="L147" i="1"/>
  <c r="AL147" i="1" s="1"/>
  <c r="BW145" i="1"/>
  <c r="BJ145" i="1"/>
  <c r="BD145" i="1"/>
  <c r="AP145" i="1"/>
  <c r="AX145" i="1" s="1"/>
  <c r="AO145" i="1"/>
  <c r="BH145" i="1" s="1"/>
  <c r="AB145" i="1" s="1"/>
  <c r="AK145" i="1"/>
  <c r="AJ145" i="1"/>
  <c r="AH145" i="1"/>
  <c r="AG145" i="1"/>
  <c r="AF145" i="1"/>
  <c r="AE145" i="1"/>
  <c r="AD145" i="1"/>
  <c r="Z145" i="1"/>
  <c r="O145" i="1"/>
  <c r="BF145" i="1" s="1"/>
  <c r="L145" i="1"/>
  <c r="AL145" i="1" s="1"/>
  <c r="BW142" i="1"/>
  <c r="BJ142" i="1"/>
  <c r="BD142" i="1"/>
  <c r="AP142" i="1"/>
  <c r="BI142" i="1" s="1"/>
  <c r="AC142" i="1" s="1"/>
  <c r="AO142" i="1"/>
  <c r="BH142" i="1" s="1"/>
  <c r="AB142" i="1" s="1"/>
  <c r="AK142" i="1"/>
  <c r="AJ142" i="1"/>
  <c r="AH142" i="1"/>
  <c r="AG142" i="1"/>
  <c r="AF142" i="1"/>
  <c r="AE142" i="1"/>
  <c r="AD142" i="1"/>
  <c r="Z142" i="1"/>
  <c r="O142" i="1"/>
  <c r="BF142" i="1" s="1"/>
  <c r="L142" i="1"/>
  <c r="AL142" i="1" s="1"/>
  <c r="BW138" i="1"/>
  <c r="BJ138" i="1"/>
  <c r="BF138" i="1"/>
  <c r="BD138" i="1"/>
  <c r="AP138" i="1"/>
  <c r="AX138" i="1" s="1"/>
  <c r="AO138" i="1"/>
  <c r="BH138" i="1" s="1"/>
  <c r="AB138" i="1" s="1"/>
  <c r="AK138" i="1"/>
  <c r="AJ138" i="1"/>
  <c r="AH138" i="1"/>
  <c r="AG138" i="1"/>
  <c r="AF138" i="1"/>
  <c r="AE138" i="1"/>
  <c r="AD138" i="1"/>
  <c r="Z138" i="1"/>
  <c r="O138" i="1"/>
  <c r="L138" i="1"/>
  <c r="M138" i="1" s="1"/>
  <c r="BW137" i="1"/>
  <c r="BJ137" i="1"/>
  <c r="BD137" i="1"/>
  <c r="AP137" i="1"/>
  <c r="BI137" i="1" s="1"/>
  <c r="AC137" i="1" s="1"/>
  <c r="AO137" i="1"/>
  <c r="BH137" i="1" s="1"/>
  <c r="AB137" i="1" s="1"/>
  <c r="AK137" i="1"/>
  <c r="AJ137" i="1"/>
  <c r="AH137" i="1"/>
  <c r="AG137" i="1"/>
  <c r="AF137" i="1"/>
  <c r="AE137" i="1"/>
  <c r="AD137" i="1"/>
  <c r="Z137" i="1"/>
  <c r="O137" i="1"/>
  <c r="BF137" i="1" s="1"/>
  <c r="L137" i="1"/>
  <c r="AL137" i="1" s="1"/>
  <c r="BW134" i="1"/>
  <c r="BJ134" i="1"/>
  <c r="BD134" i="1"/>
  <c r="AP134" i="1"/>
  <c r="AX134" i="1" s="1"/>
  <c r="AO134" i="1"/>
  <c r="BH134" i="1" s="1"/>
  <c r="AB134" i="1" s="1"/>
  <c r="AK134" i="1"/>
  <c r="AJ134" i="1"/>
  <c r="AH134" i="1"/>
  <c r="AG134" i="1"/>
  <c r="AF134" i="1"/>
  <c r="AE134" i="1"/>
  <c r="AD134" i="1"/>
  <c r="Z134" i="1"/>
  <c r="O134" i="1"/>
  <c r="L134" i="1"/>
  <c r="M134" i="1" s="1"/>
  <c r="BW131" i="1"/>
  <c r="BJ131" i="1"/>
  <c r="BD131" i="1"/>
  <c r="AP131" i="1"/>
  <c r="BI131" i="1" s="1"/>
  <c r="AC131" i="1" s="1"/>
  <c r="AO131" i="1"/>
  <c r="AW131" i="1" s="1"/>
  <c r="AK131" i="1"/>
  <c r="AJ131" i="1"/>
  <c r="AH131" i="1"/>
  <c r="AG131" i="1"/>
  <c r="AF131" i="1"/>
  <c r="AE131" i="1"/>
  <c r="AD131" i="1"/>
  <c r="Z131" i="1"/>
  <c r="O131" i="1"/>
  <c r="BF131" i="1" s="1"/>
  <c r="L131" i="1"/>
  <c r="AL131" i="1" s="1"/>
  <c r="BW128" i="1"/>
  <c r="BJ128" i="1"/>
  <c r="BD128" i="1"/>
  <c r="AP128" i="1"/>
  <c r="AX128" i="1" s="1"/>
  <c r="AO128" i="1"/>
  <c r="BH128" i="1" s="1"/>
  <c r="AB128" i="1" s="1"/>
  <c r="AK128" i="1"/>
  <c r="AJ128" i="1"/>
  <c r="AH128" i="1"/>
  <c r="AG128" i="1"/>
  <c r="AF128" i="1"/>
  <c r="AE128" i="1"/>
  <c r="AD128" i="1"/>
  <c r="Z128" i="1"/>
  <c r="O128" i="1"/>
  <c r="BF128" i="1" s="1"/>
  <c r="L128" i="1"/>
  <c r="BW125" i="1"/>
  <c r="BJ125" i="1"/>
  <c r="BD125" i="1"/>
  <c r="AP125" i="1"/>
  <c r="BI125" i="1" s="1"/>
  <c r="AC125" i="1" s="1"/>
  <c r="AO125" i="1"/>
  <c r="AW125" i="1" s="1"/>
  <c r="AK125" i="1"/>
  <c r="AT124" i="1" s="1"/>
  <c r="AJ125" i="1"/>
  <c r="AS124" i="1" s="1"/>
  <c r="AH125" i="1"/>
  <c r="AG125" i="1"/>
  <c r="AF125" i="1"/>
  <c r="AE125" i="1"/>
  <c r="AD125" i="1"/>
  <c r="Z125" i="1"/>
  <c r="O125" i="1"/>
  <c r="BF125" i="1" s="1"/>
  <c r="L125" i="1"/>
  <c r="L124" i="1" s="1"/>
  <c r="BW121" i="1"/>
  <c r="BJ121" i="1"/>
  <c r="BD121" i="1"/>
  <c r="AP121" i="1"/>
  <c r="AX121" i="1" s="1"/>
  <c r="AO121" i="1"/>
  <c r="BH121" i="1" s="1"/>
  <c r="AB121" i="1" s="1"/>
  <c r="AK121" i="1"/>
  <c r="AJ121" i="1"/>
  <c r="AH121" i="1"/>
  <c r="AG121" i="1"/>
  <c r="AF121" i="1"/>
  <c r="AE121" i="1"/>
  <c r="AD121" i="1"/>
  <c r="Z121" i="1"/>
  <c r="O121" i="1"/>
  <c r="BF121" i="1" s="1"/>
  <c r="L121" i="1"/>
  <c r="M121" i="1" s="1"/>
  <c r="BW118" i="1"/>
  <c r="BJ118" i="1"/>
  <c r="BD118" i="1"/>
  <c r="AP118" i="1"/>
  <c r="BI118" i="1" s="1"/>
  <c r="AC118" i="1" s="1"/>
  <c r="AO118" i="1"/>
  <c r="BH118" i="1" s="1"/>
  <c r="AB118" i="1" s="1"/>
  <c r="AK118" i="1"/>
  <c r="AJ118" i="1"/>
  <c r="AH118" i="1"/>
  <c r="AG118" i="1"/>
  <c r="AF118" i="1"/>
  <c r="AE118" i="1"/>
  <c r="AD118" i="1"/>
  <c r="Z118" i="1"/>
  <c r="O118" i="1"/>
  <c r="BF118" i="1" s="1"/>
  <c r="L118" i="1"/>
  <c r="AL118" i="1" s="1"/>
  <c r="BW114" i="1"/>
  <c r="BJ114" i="1"/>
  <c r="BD114" i="1"/>
  <c r="AP114" i="1"/>
  <c r="AO114" i="1"/>
  <c r="BH114" i="1" s="1"/>
  <c r="AB114" i="1" s="1"/>
  <c r="AK114" i="1"/>
  <c r="AJ114" i="1"/>
  <c r="AH114" i="1"/>
  <c r="AG114" i="1"/>
  <c r="AF114" i="1"/>
  <c r="AE114" i="1"/>
  <c r="AD114" i="1"/>
  <c r="Z114" i="1"/>
  <c r="O114" i="1"/>
  <c r="BF114" i="1" s="1"/>
  <c r="L114" i="1"/>
  <c r="AL114" i="1" s="1"/>
  <c r="BW110" i="1"/>
  <c r="BJ110" i="1"/>
  <c r="BD110" i="1"/>
  <c r="AP110" i="1"/>
  <c r="BI110" i="1" s="1"/>
  <c r="AC110" i="1" s="1"/>
  <c r="AO110" i="1"/>
  <c r="AW110" i="1" s="1"/>
  <c r="AK110" i="1"/>
  <c r="AJ110" i="1"/>
  <c r="AH110" i="1"/>
  <c r="AG110" i="1"/>
  <c r="AF110" i="1"/>
  <c r="AE110" i="1"/>
  <c r="AD110" i="1"/>
  <c r="Z110" i="1"/>
  <c r="O110" i="1"/>
  <c r="BF110" i="1" s="1"/>
  <c r="L110" i="1"/>
  <c r="AL110" i="1" s="1"/>
  <c r="BW106" i="1"/>
  <c r="BJ106" i="1"/>
  <c r="BI106" i="1"/>
  <c r="AC106" i="1" s="1"/>
  <c r="BD106" i="1"/>
  <c r="AP106" i="1"/>
  <c r="AX106" i="1" s="1"/>
  <c r="AO106" i="1"/>
  <c r="AK106" i="1"/>
  <c r="AJ106" i="1"/>
  <c r="AH106" i="1"/>
  <c r="AG106" i="1"/>
  <c r="AF106" i="1"/>
  <c r="AE106" i="1"/>
  <c r="AD106" i="1"/>
  <c r="Z106" i="1"/>
  <c r="O106" i="1"/>
  <c r="BF106" i="1" s="1"/>
  <c r="L106" i="1"/>
  <c r="AL106" i="1" s="1"/>
  <c r="BW104" i="1"/>
  <c r="BJ104" i="1"/>
  <c r="BD104" i="1"/>
  <c r="AP104" i="1"/>
  <c r="BI104" i="1" s="1"/>
  <c r="AC104" i="1" s="1"/>
  <c r="AO104" i="1"/>
  <c r="BH104" i="1" s="1"/>
  <c r="AB104" i="1" s="1"/>
  <c r="AK104" i="1"/>
  <c r="AJ104" i="1"/>
  <c r="AH104" i="1"/>
  <c r="AG104" i="1"/>
  <c r="AF104" i="1"/>
  <c r="AE104" i="1"/>
  <c r="AD104" i="1"/>
  <c r="Z104" i="1"/>
  <c r="O104" i="1"/>
  <c r="BF104" i="1" s="1"/>
  <c r="L104" i="1"/>
  <c r="AL104" i="1" s="1"/>
  <c r="BW101" i="1"/>
  <c r="BJ101" i="1"/>
  <c r="BD101" i="1"/>
  <c r="AP101" i="1"/>
  <c r="BI101" i="1" s="1"/>
  <c r="AC101" i="1" s="1"/>
  <c r="AO101" i="1"/>
  <c r="AW101" i="1" s="1"/>
  <c r="AK101" i="1"/>
  <c r="AJ101" i="1"/>
  <c r="AH101" i="1"/>
  <c r="AG101" i="1"/>
  <c r="AF101" i="1"/>
  <c r="AE101" i="1"/>
  <c r="AD101" i="1"/>
  <c r="Z101" i="1"/>
  <c r="O101" i="1"/>
  <c r="BF101" i="1" s="1"/>
  <c r="L101" i="1"/>
  <c r="M101" i="1" s="1"/>
  <c r="BW98" i="1"/>
  <c r="BJ98" i="1"/>
  <c r="BD98" i="1"/>
  <c r="AP98" i="1"/>
  <c r="BI98" i="1" s="1"/>
  <c r="AC98" i="1" s="1"/>
  <c r="AO98" i="1"/>
  <c r="AW98" i="1" s="1"/>
  <c r="AK98" i="1"/>
  <c r="AJ98" i="1"/>
  <c r="AH98" i="1"/>
  <c r="AG98" i="1"/>
  <c r="AF98" i="1"/>
  <c r="AE98" i="1"/>
  <c r="AD98" i="1"/>
  <c r="Z98" i="1"/>
  <c r="O98" i="1"/>
  <c r="BF98" i="1" s="1"/>
  <c r="L98" i="1"/>
  <c r="BW94" i="1"/>
  <c r="BJ94" i="1"/>
  <c r="BD94" i="1"/>
  <c r="AP94" i="1"/>
  <c r="BI94" i="1" s="1"/>
  <c r="AC94" i="1" s="1"/>
  <c r="AO94" i="1"/>
  <c r="BH94" i="1" s="1"/>
  <c r="AB94" i="1" s="1"/>
  <c r="AK94" i="1"/>
  <c r="AJ94" i="1"/>
  <c r="AH94" i="1"/>
  <c r="AG94" i="1"/>
  <c r="AF94" i="1"/>
  <c r="AE94" i="1"/>
  <c r="AD94" i="1"/>
  <c r="Z94" i="1"/>
  <c r="O94" i="1"/>
  <c r="BF94" i="1" s="1"/>
  <c r="L94" i="1"/>
  <c r="BW89" i="1"/>
  <c r="BJ89" i="1"/>
  <c r="BD89" i="1"/>
  <c r="AP89" i="1"/>
  <c r="AX89" i="1" s="1"/>
  <c r="AO89" i="1"/>
  <c r="AW89" i="1" s="1"/>
  <c r="AK89" i="1"/>
  <c r="AJ89" i="1"/>
  <c r="AH89" i="1"/>
  <c r="AG89" i="1"/>
  <c r="AF89" i="1"/>
  <c r="AE89" i="1"/>
  <c r="AD89" i="1"/>
  <c r="Z89" i="1"/>
  <c r="O89" i="1"/>
  <c r="BF89" i="1" s="1"/>
  <c r="L89" i="1"/>
  <c r="AL89" i="1" s="1"/>
  <c r="BW84" i="1"/>
  <c r="BJ84" i="1"/>
  <c r="BD84" i="1"/>
  <c r="AP84" i="1"/>
  <c r="BI84" i="1" s="1"/>
  <c r="AC84" i="1" s="1"/>
  <c r="AO84" i="1"/>
  <c r="BH84" i="1" s="1"/>
  <c r="AB84" i="1" s="1"/>
  <c r="AK84" i="1"/>
  <c r="AJ84" i="1"/>
  <c r="AH84" i="1"/>
  <c r="AG84" i="1"/>
  <c r="AF84" i="1"/>
  <c r="AE84" i="1"/>
  <c r="AD84" i="1"/>
  <c r="Z84" i="1"/>
  <c r="O84" i="1"/>
  <c r="BF84" i="1" s="1"/>
  <c r="L84" i="1"/>
  <c r="BW81" i="1"/>
  <c r="BJ81" i="1"/>
  <c r="BF81" i="1"/>
  <c r="BD81" i="1"/>
  <c r="AP81" i="1"/>
  <c r="AX81" i="1" s="1"/>
  <c r="AO81" i="1"/>
  <c r="AW81" i="1" s="1"/>
  <c r="AK81" i="1"/>
  <c r="AJ81" i="1"/>
  <c r="AH81" i="1"/>
  <c r="AG81" i="1"/>
  <c r="AF81" i="1"/>
  <c r="AE81" i="1"/>
  <c r="AD81" i="1"/>
  <c r="Z81" i="1"/>
  <c r="O81" i="1"/>
  <c r="L81" i="1"/>
  <c r="AL81" i="1" s="1"/>
  <c r="BW79" i="1"/>
  <c r="BJ79" i="1"/>
  <c r="BD79" i="1"/>
  <c r="AP79" i="1"/>
  <c r="BI79" i="1" s="1"/>
  <c r="AC79" i="1" s="1"/>
  <c r="AO79" i="1"/>
  <c r="BH79" i="1" s="1"/>
  <c r="AB79" i="1" s="1"/>
  <c r="AK79" i="1"/>
  <c r="AJ79" i="1"/>
  <c r="AH79" i="1"/>
  <c r="AG79" i="1"/>
  <c r="AF79" i="1"/>
  <c r="AE79" i="1"/>
  <c r="AD79" i="1"/>
  <c r="Z79" i="1"/>
  <c r="O79" i="1"/>
  <c r="BF79" i="1" s="1"/>
  <c r="L79" i="1"/>
  <c r="BW76" i="1"/>
  <c r="BJ76" i="1"/>
  <c r="BD76" i="1"/>
  <c r="AP76" i="1"/>
  <c r="AX76" i="1" s="1"/>
  <c r="AO76" i="1"/>
  <c r="AW76" i="1" s="1"/>
  <c r="AK76" i="1"/>
  <c r="AT75" i="1" s="1"/>
  <c r="AJ76" i="1"/>
  <c r="AS75" i="1" s="1"/>
  <c r="AH76" i="1"/>
  <c r="AG76" i="1"/>
  <c r="AF76" i="1"/>
  <c r="AE76" i="1"/>
  <c r="AD76" i="1"/>
  <c r="Z76" i="1"/>
  <c r="O76" i="1"/>
  <c r="O75" i="1" s="1"/>
  <c r="L76" i="1"/>
  <c r="AL76" i="1" s="1"/>
  <c r="AU75" i="1" s="1"/>
  <c r="BW74" i="1"/>
  <c r="BJ74" i="1"/>
  <c r="BD74" i="1"/>
  <c r="AP74" i="1"/>
  <c r="BI74" i="1" s="1"/>
  <c r="AC74" i="1" s="1"/>
  <c r="AO74" i="1"/>
  <c r="BH74" i="1" s="1"/>
  <c r="AB74" i="1" s="1"/>
  <c r="AK74" i="1"/>
  <c r="AJ74" i="1"/>
  <c r="AH74" i="1"/>
  <c r="AG74" i="1"/>
  <c r="AF74" i="1"/>
  <c r="AE74" i="1"/>
  <c r="AD74" i="1"/>
  <c r="Z74" i="1"/>
  <c r="O74" i="1"/>
  <c r="BF74" i="1" s="1"/>
  <c r="L74" i="1"/>
  <c r="BW72" i="1"/>
  <c r="BJ72" i="1"/>
  <c r="BD72" i="1"/>
  <c r="AP72" i="1"/>
  <c r="AX72" i="1" s="1"/>
  <c r="AO72" i="1"/>
  <c r="AW72" i="1" s="1"/>
  <c r="AK72" i="1"/>
  <c r="AJ72" i="1"/>
  <c r="AH72" i="1"/>
  <c r="AG72" i="1"/>
  <c r="AF72" i="1"/>
  <c r="AE72" i="1"/>
  <c r="AD72" i="1"/>
  <c r="Z72" i="1"/>
  <c r="O72" i="1"/>
  <c r="BF72" i="1" s="1"/>
  <c r="L72" i="1"/>
  <c r="AL72" i="1" s="1"/>
  <c r="BW70" i="1"/>
  <c r="BJ70" i="1"/>
  <c r="BD70" i="1"/>
  <c r="AP70" i="1"/>
  <c r="BI70" i="1" s="1"/>
  <c r="AC70" i="1" s="1"/>
  <c r="AO70" i="1"/>
  <c r="BH70" i="1" s="1"/>
  <c r="AB70" i="1" s="1"/>
  <c r="AK70" i="1"/>
  <c r="AJ70" i="1"/>
  <c r="AH70" i="1"/>
  <c r="AG70" i="1"/>
  <c r="AF70" i="1"/>
  <c r="AE70" i="1"/>
  <c r="AD70" i="1"/>
  <c r="Z70" i="1"/>
  <c r="O70" i="1"/>
  <c r="BF70" i="1" s="1"/>
  <c r="L70" i="1"/>
  <c r="BW66" i="1"/>
  <c r="BJ66" i="1"/>
  <c r="BD66" i="1"/>
  <c r="AP66" i="1"/>
  <c r="AX66" i="1" s="1"/>
  <c r="AO66" i="1"/>
  <c r="AW66" i="1" s="1"/>
  <c r="AK66" i="1"/>
  <c r="AJ66" i="1"/>
  <c r="AH66" i="1"/>
  <c r="AG66" i="1"/>
  <c r="AF66" i="1"/>
  <c r="AE66" i="1"/>
  <c r="AD66" i="1"/>
  <c r="Z66" i="1"/>
  <c r="O66" i="1"/>
  <c r="BF66" i="1" s="1"/>
  <c r="L66" i="1"/>
  <c r="AL66" i="1" s="1"/>
  <c r="BW64" i="1"/>
  <c r="BJ64" i="1"/>
  <c r="BD64" i="1"/>
  <c r="AP64" i="1"/>
  <c r="BI64" i="1" s="1"/>
  <c r="AC64" i="1" s="1"/>
  <c r="AO64" i="1"/>
  <c r="BH64" i="1" s="1"/>
  <c r="AB64" i="1" s="1"/>
  <c r="AK64" i="1"/>
  <c r="AJ64" i="1"/>
  <c r="AH64" i="1"/>
  <c r="AG64" i="1"/>
  <c r="AF64" i="1"/>
  <c r="AE64" i="1"/>
  <c r="AD64" i="1"/>
  <c r="Z64" i="1"/>
  <c r="O64" i="1"/>
  <c r="L64" i="1"/>
  <c r="BW61" i="1"/>
  <c r="BJ61" i="1"/>
  <c r="BD61" i="1"/>
  <c r="AP61" i="1"/>
  <c r="AX61" i="1" s="1"/>
  <c r="AO61" i="1"/>
  <c r="AW61" i="1" s="1"/>
  <c r="AK61" i="1"/>
  <c r="AJ61" i="1"/>
  <c r="AH61" i="1"/>
  <c r="AG61" i="1"/>
  <c r="AF61" i="1"/>
  <c r="AE61" i="1"/>
  <c r="AD61" i="1"/>
  <c r="Z61" i="1"/>
  <c r="O61" i="1"/>
  <c r="BF61" i="1" s="1"/>
  <c r="L61" i="1"/>
  <c r="AL61" i="1" s="1"/>
  <c r="BW57" i="1"/>
  <c r="BJ57" i="1"/>
  <c r="BD57" i="1"/>
  <c r="AP57" i="1"/>
  <c r="BI57" i="1" s="1"/>
  <c r="AC57" i="1" s="1"/>
  <c r="AO57" i="1"/>
  <c r="BH57" i="1" s="1"/>
  <c r="AB57" i="1" s="1"/>
  <c r="AK57" i="1"/>
  <c r="AT56" i="1" s="1"/>
  <c r="AJ57" i="1"/>
  <c r="AS56" i="1" s="1"/>
  <c r="AH57" i="1"/>
  <c r="AG57" i="1"/>
  <c r="AF57" i="1"/>
  <c r="AE57" i="1"/>
  <c r="AD57" i="1"/>
  <c r="Z57" i="1"/>
  <c r="O57" i="1"/>
  <c r="BF57" i="1" s="1"/>
  <c r="L57" i="1"/>
  <c r="L56" i="1" s="1"/>
  <c r="BW54" i="1"/>
  <c r="BJ54" i="1"/>
  <c r="BD54" i="1"/>
  <c r="AP54" i="1"/>
  <c r="AX54" i="1" s="1"/>
  <c r="AO54" i="1"/>
  <c r="AW54" i="1" s="1"/>
  <c r="AK54" i="1"/>
  <c r="AJ54" i="1"/>
  <c r="AH54" i="1"/>
  <c r="AG54" i="1"/>
  <c r="AF54" i="1"/>
  <c r="AE54" i="1"/>
  <c r="AD54" i="1"/>
  <c r="Z54" i="1"/>
  <c r="O54" i="1"/>
  <c r="BF54" i="1" s="1"/>
  <c r="L54" i="1"/>
  <c r="AL54" i="1" s="1"/>
  <c r="BW52" i="1"/>
  <c r="BJ52" i="1"/>
  <c r="BD52" i="1"/>
  <c r="AP52" i="1"/>
  <c r="BI52" i="1" s="1"/>
  <c r="AC52" i="1" s="1"/>
  <c r="AO52" i="1"/>
  <c r="BH52" i="1" s="1"/>
  <c r="AB52" i="1" s="1"/>
  <c r="AK52" i="1"/>
  <c r="AJ52" i="1"/>
  <c r="AH52" i="1"/>
  <c r="AG52" i="1"/>
  <c r="AF52" i="1"/>
  <c r="AE52" i="1"/>
  <c r="AD52" i="1"/>
  <c r="Z52" i="1"/>
  <c r="O52" i="1"/>
  <c r="L52" i="1"/>
  <c r="BW50" i="1"/>
  <c r="BJ50" i="1"/>
  <c r="BD50" i="1"/>
  <c r="AP50" i="1"/>
  <c r="AX50" i="1" s="1"/>
  <c r="AO50" i="1"/>
  <c r="AW50" i="1" s="1"/>
  <c r="AK50" i="1"/>
  <c r="AJ50" i="1"/>
  <c r="AH50" i="1"/>
  <c r="AG50" i="1"/>
  <c r="AF50" i="1"/>
  <c r="AE50" i="1"/>
  <c r="AD50" i="1"/>
  <c r="Z50" i="1"/>
  <c r="O50" i="1"/>
  <c r="BF50" i="1" s="1"/>
  <c r="L50" i="1"/>
  <c r="BW47" i="1"/>
  <c r="BJ47" i="1"/>
  <c r="BD47" i="1"/>
  <c r="AP47" i="1"/>
  <c r="BI47" i="1" s="1"/>
  <c r="AC47" i="1" s="1"/>
  <c r="AO47" i="1"/>
  <c r="BH47" i="1" s="1"/>
  <c r="AB47" i="1" s="1"/>
  <c r="AK47" i="1"/>
  <c r="AJ47" i="1"/>
  <c r="AH47" i="1"/>
  <c r="AG47" i="1"/>
  <c r="AF47" i="1"/>
  <c r="AE47" i="1"/>
  <c r="AD47" i="1"/>
  <c r="Z47" i="1"/>
  <c r="O47" i="1"/>
  <c r="BF47" i="1" s="1"/>
  <c r="L47" i="1"/>
  <c r="BW45" i="1"/>
  <c r="BJ45" i="1"/>
  <c r="BD45" i="1"/>
  <c r="AP45" i="1"/>
  <c r="AX45" i="1" s="1"/>
  <c r="AO45" i="1"/>
  <c r="AW45" i="1" s="1"/>
  <c r="AK45" i="1"/>
  <c r="AJ45" i="1"/>
  <c r="AH45" i="1"/>
  <c r="AG45" i="1"/>
  <c r="AF45" i="1"/>
  <c r="AE45" i="1"/>
  <c r="AD45" i="1"/>
  <c r="Z45" i="1"/>
  <c r="O45" i="1"/>
  <c r="BF45" i="1" s="1"/>
  <c r="L45" i="1"/>
  <c r="AL45" i="1" s="1"/>
  <c r="BW42" i="1"/>
  <c r="BJ42" i="1"/>
  <c r="BD42" i="1"/>
  <c r="AP42" i="1"/>
  <c r="BI42" i="1" s="1"/>
  <c r="AC42" i="1" s="1"/>
  <c r="AO42" i="1"/>
  <c r="BH42" i="1" s="1"/>
  <c r="AB42" i="1" s="1"/>
  <c r="AK42" i="1"/>
  <c r="AJ42" i="1"/>
  <c r="AH42" i="1"/>
  <c r="AG42" i="1"/>
  <c r="AF42" i="1"/>
  <c r="AE42" i="1"/>
  <c r="AD42" i="1"/>
  <c r="Z42" i="1"/>
  <c r="O42" i="1"/>
  <c r="BF42" i="1" s="1"/>
  <c r="L42" i="1"/>
  <c r="BW39" i="1"/>
  <c r="BJ39" i="1"/>
  <c r="BD39" i="1"/>
  <c r="AP39" i="1"/>
  <c r="AX39" i="1" s="1"/>
  <c r="AO39" i="1"/>
  <c r="AW39" i="1" s="1"/>
  <c r="AK39" i="1"/>
  <c r="AJ39" i="1"/>
  <c r="AH39" i="1"/>
  <c r="AG39" i="1"/>
  <c r="AF39" i="1"/>
  <c r="AE39" i="1"/>
  <c r="AD39" i="1"/>
  <c r="Z39" i="1"/>
  <c r="O39" i="1"/>
  <c r="BF39" i="1" s="1"/>
  <c r="L39" i="1"/>
  <c r="AL39" i="1" s="1"/>
  <c r="BW37" i="1"/>
  <c r="BJ37" i="1"/>
  <c r="BD37" i="1"/>
  <c r="AP37" i="1"/>
  <c r="BI37" i="1" s="1"/>
  <c r="AC37" i="1" s="1"/>
  <c r="AO37" i="1"/>
  <c r="BH37" i="1" s="1"/>
  <c r="AB37" i="1" s="1"/>
  <c r="AK37" i="1"/>
  <c r="AJ37" i="1"/>
  <c r="AH37" i="1"/>
  <c r="AG37" i="1"/>
  <c r="AF37" i="1"/>
  <c r="AE37" i="1"/>
  <c r="AD37" i="1"/>
  <c r="Z37" i="1"/>
  <c r="O37" i="1"/>
  <c r="BF37" i="1" s="1"/>
  <c r="L37" i="1"/>
  <c r="BW35" i="1"/>
  <c r="BJ35" i="1"/>
  <c r="BD35" i="1"/>
  <c r="AP35" i="1"/>
  <c r="BI35" i="1" s="1"/>
  <c r="AC35" i="1" s="1"/>
  <c r="AO35" i="1"/>
  <c r="AW35" i="1" s="1"/>
  <c r="AK35" i="1"/>
  <c r="AJ35" i="1"/>
  <c r="AH35" i="1"/>
  <c r="AG35" i="1"/>
  <c r="AF35" i="1"/>
  <c r="AE35" i="1"/>
  <c r="AD35" i="1"/>
  <c r="Z35" i="1"/>
  <c r="O35" i="1"/>
  <c r="BF35" i="1" s="1"/>
  <c r="L35" i="1"/>
  <c r="AL35" i="1" s="1"/>
  <c r="BW33" i="1"/>
  <c r="BJ33" i="1"/>
  <c r="BD33" i="1"/>
  <c r="AP33" i="1"/>
  <c r="BI33" i="1" s="1"/>
  <c r="AC33" i="1" s="1"/>
  <c r="AO33" i="1"/>
  <c r="BH33" i="1" s="1"/>
  <c r="AB33" i="1" s="1"/>
  <c r="AK33" i="1"/>
  <c r="AJ33" i="1"/>
  <c r="AH33" i="1"/>
  <c r="AG33" i="1"/>
  <c r="AF33" i="1"/>
  <c r="AE33" i="1"/>
  <c r="AD33" i="1"/>
  <c r="Z33" i="1"/>
  <c r="O33" i="1"/>
  <c r="BF33" i="1" s="1"/>
  <c r="L33" i="1"/>
  <c r="BW31" i="1"/>
  <c r="BJ31" i="1"/>
  <c r="BD31" i="1"/>
  <c r="AP31" i="1"/>
  <c r="BI31" i="1" s="1"/>
  <c r="AC31" i="1" s="1"/>
  <c r="AO31" i="1"/>
  <c r="AW31" i="1" s="1"/>
  <c r="AK31" i="1"/>
  <c r="AJ31" i="1"/>
  <c r="AH31" i="1"/>
  <c r="AG31" i="1"/>
  <c r="AF31" i="1"/>
  <c r="AE31" i="1"/>
  <c r="AD31" i="1"/>
  <c r="Z31" i="1"/>
  <c r="O31" i="1"/>
  <c r="BF31" i="1" s="1"/>
  <c r="L31" i="1"/>
  <c r="AL31" i="1" s="1"/>
  <c r="BW29" i="1"/>
  <c r="BJ29" i="1"/>
  <c r="BD29" i="1"/>
  <c r="AP29" i="1"/>
  <c r="BI29" i="1" s="1"/>
  <c r="AC29" i="1" s="1"/>
  <c r="AO29" i="1"/>
  <c r="BH29" i="1" s="1"/>
  <c r="AB29" i="1" s="1"/>
  <c r="AK29" i="1"/>
  <c r="AJ29" i="1"/>
  <c r="AH29" i="1"/>
  <c r="AG29" i="1"/>
  <c r="AF29" i="1"/>
  <c r="AE29" i="1"/>
  <c r="AD29" i="1"/>
  <c r="Z29" i="1"/>
  <c r="O29" i="1"/>
  <c r="BF29" i="1" s="1"/>
  <c r="L29" i="1"/>
  <c r="BW27" i="1"/>
  <c r="BJ27" i="1"/>
  <c r="BD27" i="1"/>
  <c r="AP27" i="1"/>
  <c r="BI27" i="1" s="1"/>
  <c r="AC27" i="1" s="1"/>
  <c r="AO27" i="1"/>
  <c r="AW27" i="1" s="1"/>
  <c r="AK27" i="1"/>
  <c r="AJ27" i="1"/>
  <c r="AH27" i="1"/>
  <c r="AG27" i="1"/>
  <c r="AF27" i="1"/>
  <c r="AE27" i="1"/>
  <c r="AD27" i="1"/>
  <c r="Z27" i="1"/>
  <c r="O27" i="1"/>
  <c r="BF27" i="1" s="1"/>
  <c r="L27" i="1"/>
  <c r="M27" i="1" s="1"/>
  <c r="BW25" i="1"/>
  <c r="BJ25" i="1"/>
  <c r="BD25" i="1"/>
  <c r="AP25" i="1"/>
  <c r="BI25" i="1" s="1"/>
  <c r="AC25" i="1" s="1"/>
  <c r="AO25" i="1"/>
  <c r="BH25" i="1" s="1"/>
  <c r="AB25" i="1" s="1"/>
  <c r="AK25" i="1"/>
  <c r="AJ25" i="1"/>
  <c r="AH25" i="1"/>
  <c r="AG25" i="1"/>
  <c r="AF25" i="1"/>
  <c r="AE25" i="1"/>
  <c r="AD25" i="1"/>
  <c r="Z25" i="1"/>
  <c r="O25" i="1"/>
  <c r="BF25" i="1" s="1"/>
  <c r="L25" i="1"/>
  <c r="BW22" i="1"/>
  <c r="BJ22" i="1"/>
  <c r="BD22" i="1"/>
  <c r="AP22" i="1"/>
  <c r="BI22" i="1" s="1"/>
  <c r="AC22" i="1" s="1"/>
  <c r="AO22" i="1"/>
  <c r="AW22" i="1" s="1"/>
  <c r="AK22" i="1"/>
  <c r="AJ22" i="1"/>
  <c r="AH22" i="1"/>
  <c r="AG22" i="1"/>
  <c r="AF22" i="1"/>
  <c r="AE22" i="1"/>
  <c r="AD22" i="1"/>
  <c r="Z22" i="1"/>
  <c r="O22" i="1"/>
  <c r="BF22" i="1" s="1"/>
  <c r="L22" i="1"/>
  <c r="AL22" i="1" s="1"/>
  <c r="BW20" i="1"/>
  <c r="BJ20" i="1"/>
  <c r="BD20" i="1"/>
  <c r="AP20" i="1"/>
  <c r="BI20" i="1" s="1"/>
  <c r="AC20" i="1" s="1"/>
  <c r="AO20" i="1"/>
  <c r="BH20" i="1" s="1"/>
  <c r="AB20" i="1" s="1"/>
  <c r="AK20" i="1"/>
  <c r="AJ20" i="1"/>
  <c r="AH20" i="1"/>
  <c r="AG20" i="1"/>
  <c r="AF20" i="1"/>
  <c r="AE20" i="1"/>
  <c r="AD20" i="1"/>
  <c r="Z20" i="1"/>
  <c r="O20" i="1"/>
  <c r="BF20" i="1" s="1"/>
  <c r="L20" i="1"/>
  <c r="AL20" i="1" s="1"/>
  <c r="BW18" i="1"/>
  <c r="BJ18" i="1"/>
  <c r="BD18" i="1"/>
  <c r="AP18" i="1"/>
  <c r="BI18" i="1" s="1"/>
  <c r="AC18" i="1" s="1"/>
  <c r="AO18" i="1"/>
  <c r="AW18" i="1" s="1"/>
  <c r="AK18" i="1"/>
  <c r="AJ18" i="1"/>
  <c r="AH18" i="1"/>
  <c r="AG18" i="1"/>
  <c r="AF18" i="1"/>
  <c r="AE18" i="1"/>
  <c r="AD18" i="1"/>
  <c r="Z18" i="1"/>
  <c r="O18" i="1"/>
  <c r="BF18" i="1" s="1"/>
  <c r="L18" i="1"/>
  <c r="AL18" i="1" s="1"/>
  <c r="BW16" i="1"/>
  <c r="BJ16" i="1"/>
  <c r="BD16" i="1"/>
  <c r="AP16" i="1"/>
  <c r="BI16" i="1" s="1"/>
  <c r="AC16" i="1" s="1"/>
  <c r="AO16" i="1"/>
  <c r="BH16" i="1" s="1"/>
  <c r="AB16" i="1" s="1"/>
  <c r="AK16" i="1"/>
  <c r="AJ16" i="1"/>
  <c r="AH16" i="1"/>
  <c r="AG16" i="1"/>
  <c r="AF16" i="1"/>
  <c r="AE16" i="1"/>
  <c r="AD16" i="1"/>
  <c r="Z16" i="1"/>
  <c r="O16" i="1"/>
  <c r="BF16" i="1" s="1"/>
  <c r="L16" i="1"/>
  <c r="AL16" i="1" s="1"/>
  <c r="BW14" i="1"/>
  <c r="BJ14" i="1"/>
  <c r="BD14" i="1"/>
  <c r="AP14" i="1"/>
  <c r="BI14" i="1" s="1"/>
  <c r="AC14" i="1" s="1"/>
  <c r="AO14" i="1"/>
  <c r="BH14" i="1" s="1"/>
  <c r="AB14" i="1" s="1"/>
  <c r="AK14" i="1"/>
  <c r="AJ14" i="1"/>
  <c r="AH14" i="1"/>
  <c r="AG14" i="1"/>
  <c r="AF14" i="1"/>
  <c r="AE14" i="1"/>
  <c r="AD14" i="1"/>
  <c r="Z14" i="1"/>
  <c r="O14" i="1"/>
  <c r="BF14" i="1" s="1"/>
  <c r="L14" i="1"/>
  <c r="AL14" i="1" s="1"/>
  <c r="AU1" i="1"/>
  <c r="AT1" i="1"/>
  <c r="AS1" i="1"/>
  <c r="J199" i="1" l="1"/>
  <c r="J194" i="1"/>
  <c r="AW47" i="1"/>
  <c r="J190" i="1"/>
  <c r="K286" i="1"/>
  <c r="J98" i="1"/>
  <c r="K198" i="1"/>
  <c r="AW198" i="1"/>
  <c r="BC198" i="1" s="1"/>
  <c r="L271" i="1"/>
  <c r="K251" i="1"/>
  <c r="AW137" i="1"/>
  <c r="AV137" i="1" s="1"/>
  <c r="J307" i="1"/>
  <c r="J137" i="1"/>
  <c r="J35" i="1"/>
  <c r="K137" i="1"/>
  <c r="AX137" i="1"/>
  <c r="AW176" i="1"/>
  <c r="K182" i="1"/>
  <c r="K270" i="1"/>
  <c r="M25" i="1"/>
  <c r="AW192" i="1"/>
  <c r="BC192" i="1" s="1"/>
  <c r="J297" i="1"/>
  <c r="BI155" i="1"/>
  <c r="AC155" i="1" s="1"/>
  <c r="M198" i="1"/>
  <c r="AW199" i="1"/>
  <c r="M219" i="1"/>
  <c r="AW262" i="1"/>
  <c r="K178" i="1"/>
  <c r="M22" i="1"/>
  <c r="M50" i="1"/>
  <c r="O124" i="1"/>
  <c r="K159" i="1"/>
  <c r="AL181" i="1"/>
  <c r="AT282" i="1"/>
  <c r="J147" i="1"/>
  <c r="M264" i="1"/>
  <c r="M197" i="1"/>
  <c r="J155" i="1"/>
  <c r="K171" i="1"/>
  <c r="AX182" i="1"/>
  <c r="M214" i="1"/>
  <c r="AL134" i="1"/>
  <c r="K101" i="1"/>
  <c r="J173" i="1"/>
  <c r="AW173" i="1"/>
  <c r="BC173" i="1" s="1"/>
  <c r="M206" i="1"/>
  <c r="J262" i="1"/>
  <c r="L41" i="1"/>
  <c r="AS49" i="1"/>
  <c r="M156" i="1"/>
  <c r="M173" i="1"/>
  <c r="M183" i="1"/>
  <c r="K191" i="1"/>
  <c r="O310" i="1"/>
  <c r="K166" i="1"/>
  <c r="J179" i="1"/>
  <c r="AW179" i="1"/>
  <c r="BC179" i="1" s="1"/>
  <c r="M210" i="1"/>
  <c r="M272" i="1"/>
  <c r="M271" i="1" s="1"/>
  <c r="J14" i="1"/>
  <c r="J25" i="1"/>
  <c r="AX25" i="1"/>
  <c r="K76" i="1"/>
  <c r="K75" i="1" s="1"/>
  <c r="M166" i="1"/>
  <c r="K174" i="1"/>
  <c r="AX174" i="1"/>
  <c r="K179" i="1"/>
  <c r="J185" i="1"/>
  <c r="K236" i="1"/>
  <c r="AW14" i="1"/>
  <c r="K25" i="1"/>
  <c r="M236" i="1"/>
  <c r="AX118" i="1"/>
  <c r="K152" i="1"/>
  <c r="K160" i="1"/>
  <c r="AX160" i="1"/>
  <c r="AW175" i="1"/>
  <c r="BC175" i="1" s="1"/>
  <c r="M179" i="1"/>
  <c r="M202" i="1"/>
  <c r="J266" i="1"/>
  <c r="J279" i="1"/>
  <c r="J290" i="1"/>
  <c r="J301" i="1"/>
  <c r="J300" i="1" s="1"/>
  <c r="J299" i="1" s="1"/>
  <c r="AS302" i="1"/>
  <c r="BI307" i="1"/>
  <c r="F22" i="2"/>
  <c r="AS69" i="1"/>
  <c r="K118" i="1"/>
  <c r="M192" i="1"/>
  <c r="BI192" i="1"/>
  <c r="AC192" i="1" s="1"/>
  <c r="K213" i="1"/>
  <c r="AL214" i="1"/>
  <c r="AW240" i="1"/>
  <c r="BC240" i="1" s="1"/>
  <c r="L300" i="1"/>
  <c r="L299" i="1" s="1"/>
  <c r="L83" i="1"/>
  <c r="J240" i="1"/>
  <c r="BH18" i="1"/>
  <c r="AB18" i="1" s="1"/>
  <c r="AS41" i="1"/>
  <c r="I18" i="3"/>
  <c r="K293" i="1"/>
  <c r="AW297" i="1"/>
  <c r="BC297" i="1" s="1"/>
  <c r="K283" i="1"/>
  <c r="J284" i="1"/>
  <c r="AW279" i="1"/>
  <c r="M286" i="1"/>
  <c r="J272" i="1"/>
  <c r="J271" i="1" s="1"/>
  <c r="AW260" i="1"/>
  <c r="BC260" i="1" s="1"/>
  <c r="AW257" i="1"/>
  <c r="AW254" i="1"/>
  <c r="AV254" i="1" s="1"/>
  <c r="M248" i="1"/>
  <c r="J243" i="1"/>
  <c r="AW243" i="1"/>
  <c r="BC243" i="1" s="1"/>
  <c r="AW232" i="1"/>
  <c r="AW233" i="1"/>
  <c r="M225" i="1"/>
  <c r="J232" i="1"/>
  <c r="J220" i="1"/>
  <c r="AW218" i="1"/>
  <c r="BC218" i="1" s="1"/>
  <c r="J214" i="1"/>
  <c r="K217" i="1"/>
  <c r="J218" i="1"/>
  <c r="K222" i="1"/>
  <c r="J223" i="1"/>
  <c r="M142" i="1"/>
  <c r="AX125" i="1"/>
  <c r="AV125" i="1" s="1"/>
  <c r="AX131" i="1"/>
  <c r="AV131" i="1"/>
  <c r="K106" i="1"/>
  <c r="M89" i="1"/>
  <c r="J79" i="1"/>
  <c r="AT60" i="1"/>
  <c r="AW70" i="1"/>
  <c r="J70" i="1"/>
  <c r="AL50" i="1"/>
  <c r="AX52" i="1"/>
  <c r="J47" i="1"/>
  <c r="AX35" i="1"/>
  <c r="K27" i="1"/>
  <c r="AX27" i="1"/>
  <c r="BH31" i="1"/>
  <c r="AB31" i="1" s="1"/>
  <c r="M254" i="1"/>
  <c r="M31" i="1"/>
  <c r="J42" i="1"/>
  <c r="M54" i="1"/>
  <c r="M66" i="1"/>
  <c r="M98" i="1"/>
  <c r="J145" i="1"/>
  <c r="AX147" i="1"/>
  <c r="M171" i="1"/>
  <c r="M182" i="1"/>
  <c r="K189" i="1"/>
  <c r="M189" i="1"/>
  <c r="J203" i="1"/>
  <c r="M203" i="1"/>
  <c r="J208" i="1"/>
  <c r="AW208" i="1"/>
  <c r="J216" i="1"/>
  <c r="K220" i="1"/>
  <c r="AW223" i="1"/>
  <c r="J229" i="1"/>
  <c r="K260" i="1"/>
  <c r="J275" i="1"/>
  <c r="J274" i="1" s="1"/>
  <c r="K290" i="1"/>
  <c r="AW290" i="1"/>
  <c r="BC290" i="1" s="1"/>
  <c r="AW286" i="1"/>
  <c r="J311" i="1"/>
  <c r="J310" i="1" s="1"/>
  <c r="AW311" i="1"/>
  <c r="AW20" i="1"/>
  <c r="AX29" i="1"/>
  <c r="K35" i="1"/>
  <c r="AX37" i="1"/>
  <c r="M45" i="1"/>
  <c r="AX64" i="1"/>
  <c r="L69" i="1"/>
  <c r="K72" i="1"/>
  <c r="L78" i="1"/>
  <c r="AS78" i="1"/>
  <c r="K81" i="1"/>
  <c r="AS109" i="1"/>
  <c r="J114" i="1"/>
  <c r="K125" i="1"/>
  <c r="K124" i="1" s="1"/>
  <c r="AW158" i="1"/>
  <c r="AW164" i="1"/>
  <c r="M167" i="1"/>
  <c r="AX186" i="1"/>
  <c r="J191" i="1"/>
  <c r="AX193" i="1"/>
  <c r="K196" i="1"/>
  <c r="M199" i="1"/>
  <c r="K201" i="1"/>
  <c r="M216" i="1"/>
  <c r="M222" i="1"/>
  <c r="M229" i="1"/>
  <c r="M232" i="1"/>
  <c r="M240" i="1"/>
  <c r="J251" i="1"/>
  <c r="M260" i="1"/>
  <c r="K266" i="1"/>
  <c r="M279" i="1"/>
  <c r="M290" i="1"/>
  <c r="K295" i="1"/>
  <c r="C18" i="2"/>
  <c r="AW29" i="1"/>
  <c r="AS83" i="1"/>
  <c r="AW163" i="1"/>
  <c r="BC163" i="1" s="1"/>
  <c r="K14" i="1"/>
  <c r="M81" i="1"/>
  <c r="AW84" i="1"/>
  <c r="AT109" i="1"/>
  <c r="AW121" i="1"/>
  <c r="AV121" i="1" s="1"/>
  <c r="K147" i="1"/>
  <c r="J163" i="1"/>
  <c r="J168" i="1"/>
  <c r="AW187" i="1"/>
  <c r="AW191" i="1"/>
  <c r="K214" i="1"/>
  <c r="BI214" i="1"/>
  <c r="AC214" i="1" s="1"/>
  <c r="AW245" i="1"/>
  <c r="K280" i="1"/>
  <c r="J283" i="1"/>
  <c r="AW283" i="1"/>
  <c r="AW288" i="1"/>
  <c r="O285" i="1"/>
  <c r="F38" i="3"/>
  <c r="I38" i="3" s="1"/>
  <c r="AW128" i="1"/>
  <c r="AV128" i="1" s="1"/>
  <c r="AW168" i="1"/>
  <c r="J29" i="1"/>
  <c r="AW16" i="1"/>
  <c r="AL27" i="1"/>
  <c r="K29" i="1"/>
  <c r="M35" i="1"/>
  <c r="J57" i="1"/>
  <c r="J56" i="1" s="1"/>
  <c r="M72" i="1"/>
  <c r="AX84" i="1"/>
  <c r="M114" i="1"/>
  <c r="M125" i="1"/>
  <c r="M124" i="1" s="1"/>
  <c r="J138" i="1"/>
  <c r="AX142" i="1"/>
  <c r="AW152" i="1"/>
  <c r="AW154" i="1"/>
  <c r="M157" i="1"/>
  <c r="J158" i="1"/>
  <c r="AW159" i="1"/>
  <c r="BC159" i="1" s="1"/>
  <c r="M163" i="1"/>
  <c r="K186" i="1"/>
  <c r="M191" i="1"/>
  <c r="K193" i="1"/>
  <c r="BI196" i="1"/>
  <c r="AC196" i="1" s="1"/>
  <c r="J202" i="1"/>
  <c r="AW202" i="1"/>
  <c r="J206" i="1"/>
  <c r="AW206" i="1"/>
  <c r="BC206" i="1" s="1"/>
  <c r="AW212" i="1"/>
  <c r="K218" i="1"/>
  <c r="BI218" i="1"/>
  <c r="AC218" i="1" s="1"/>
  <c r="J225" i="1"/>
  <c r="AW225" i="1"/>
  <c r="AV225" i="1" s="1"/>
  <c r="AW237" i="1"/>
  <c r="K243" i="1"/>
  <c r="K268" i="1"/>
  <c r="AU278" i="1"/>
  <c r="AS278" i="1"/>
  <c r="AT300" i="1"/>
  <c r="AT302" i="1"/>
  <c r="AX14" i="1"/>
  <c r="K208" i="1"/>
  <c r="AW251" i="1"/>
  <c r="BH39" i="1"/>
  <c r="AB39" i="1" s="1"/>
  <c r="AW42" i="1"/>
  <c r="J61" i="1"/>
  <c r="K64" i="1"/>
  <c r="BF76" i="1"/>
  <c r="J84" i="1"/>
  <c r="BH131" i="1"/>
  <c r="AB131" i="1" s="1"/>
  <c r="K142" i="1"/>
  <c r="AW145" i="1"/>
  <c r="AX152" i="1"/>
  <c r="J164" i="1"/>
  <c r="BI165" i="1"/>
  <c r="AC165" i="1" s="1"/>
  <c r="M168" i="1"/>
  <c r="AW171" i="1"/>
  <c r="BC171" i="1" s="1"/>
  <c r="J182" i="1"/>
  <c r="AW182" i="1"/>
  <c r="BC182" i="1" s="1"/>
  <c r="M186" i="1"/>
  <c r="BI188" i="1"/>
  <c r="AC188" i="1" s="1"/>
  <c r="AX189" i="1"/>
  <c r="AW194" i="1"/>
  <c r="AV194" i="1" s="1"/>
  <c r="AW195" i="1"/>
  <c r="K202" i="1"/>
  <c r="AW203" i="1"/>
  <c r="K206" i="1"/>
  <c r="M211" i="1"/>
  <c r="J212" i="1"/>
  <c r="M218" i="1"/>
  <c r="AW220" i="1"/>
  <c r="AV220" i="1" s="1"/>
  <c r="AW221" i="1"/>
  <c r="K225" i="1"/>
  <c r="J237" i="1"/>
  <c r="K262" i="1"/>
  <c r="M268" i="1"/>
  <c r="AW270" i="1"/>
  <c r="AW275" i="1"/>
  <c r="O278" i="1"/>
  <c r="AW284" i="1"/>
  <c r="J288" i="1"/>
  <c r="K291" i="1"/>
  <c r="K297" i="1"/>
  <c r="AW114" i="1"/>
  <c r="K205" i="1"/>
  <c r="AS282" i="1"/>
  <c r="M18" i="1"/>
  <c r="J20" i="1"/>
  <c r="AX16" i="1"/>
  <c r="K37" i="1"/>
  <c r="K16" i="1"/>
  <c r="J31" i="1"/>
  <c r="K39" i="1"/>
  <c r="AT49" i="1"/>
  <c r="K52" i="1"/>
  <c r="K66" i="1"/>
  <c r="J76" i="1"/>
  <c r="J75" i="1" s="1"/>
  <c r="BH76" i="1"/>
  <c r="AB76" i="1" s="1"/>
  <c r="AW79" i="1"/>
  <c r="K84" i="1"/>
  <c r="BH101" i="1"/>
  <c r="AB101" i="1" s="1"/>
  <c r="AX110" i="1"/>
  <c r="BC110" i="1" s="1"/>
  <c r="M118" i="1"/>
  <c r="AL125" i="1"/>
  <c r="AU124" i="1" s="1"/>
  <c r="K131" i="1"/>
  <c r="J152" i="1"/>
  <c r="AW155" i="1"/>
  <c r="BC155" i="1" s="1"/>
  <c r="AL157" i="1"/>
  <c r="M158" i="1"/>
  <c r="J159" i="1"/>
  <c r="BI159" i="1"/>
  <c r="AC159" i="1" s="1"/>
  <c r="K165" i="1"/>
  <c r="AX166" i="1"/>
  <c r="J171" i="1"/>
  <c r="J187" i="1"/>
  <c r="M187" i="1"/>
  <c r="AS207" i="1"/>
  <c r="K215" i="1"/>
  <c r="AW229" i="1"/>
  <c r="AL236" i="1"/>
  <c r="K237" i="1"/>
  <c r="J245" i="1"/>
  <c r="J254" i="1"/>
  <c r="J270" i="1"/>
  <c r="J293" i="1"/>
  <c r="AW293" i="1"/>
  <c r="BC293" i="1" s="1"/>
  <c r="M297" i="1"/>
  <c r="BH184" i="1"/>
  <c r="AB184" i="1" s="1"/>
  <c r="J184" i="1"/>
  <c r="AW184" i="1"/>
  <c r="AL185" i="1"/>
  <c r="M185" i="1"/>
  <c r="O224" i="1"/>
  <c r="BF229" i="1"/>
  <c r="BH268" i="1"/>
  <c r="AB268" i="1" s="1"/>
  <c r="AW268" i="1"/>
  <c r="AV268" i="1" s="1"/>
  <c r="J268" i="1"/>
  <c r="K22" i="1"/>
  <c r="M106" i="1"/>
  <c r="AT127" i="1"/>
  <c r="M153" i="1"/>
  <c r="AL212" i="1"/>
  <c r="M212" i="1"/>
  <c r="AX216" i="1"/>
  <c r="AV216" i="1" s="1"/>
  <c r="BI216" i="1"/>
  <c r="AC216" i="1" s="1"/>
  <c r="AX279" i="1"/>
  <c r="K279" i="1"/>
  <c r="BF301" i="1"/>
  <c r="O300" i="1"/>
  <c r="BH303" i="1"/>
  <c r="J303" i="1"/>
  <c r="J302" i="1" s="1"/>
  <c r="AS13" i="1"/>
  <c r="M39" i="1"/>
  <c r="J45" i="1"/>
  <c r="J50" i="1"/>
  <c r="AW57" i="1"/>
  <c r="K61" i="1"/>
  <c r="L75" i="1"/>
  <c r="M76" i="1"/>
  <c r="M75" i="1" s="1"/>
  <c r="J81" i="1"/>
  <c r="J94" i="1"/>
  <c r="AW94" i="1"/>
  <c r="K98" i="1"/>
  <c r="AW104" i="1"/>
  <c r="J121" i="1"/>
  <c r="J125" i="1"/>
  <c r="J124" i="1" s="1"/>
  <c r="J128" i="1"/>
  <c r="M131" i="1"/>
  <c r="AW134" i="1"/>
  <c r="BC134" i="1" s="1"/>
  <c r="M137" i="1"/>
  <c r="K145" i="1"/>
  <c r="AW151" i="1"/>
  <c r="BC151" i="1" s="1"/>
  <c r="M152" i="1"/>
  <c r="J154" i="1"/>
  <c r="AX154" i="1"/>
  <c r="BC154" i="1" s="1"/>
  <c r="M155" i="1"/>
  <c r="AX158" i="1"/>
  <c r="M159" i="1"/>
  <c r="M162" i="1"/>
  <c r="BI164" i="1"/>
  <c r="AC164" i="1" s="1"/>
  <c r="AX164" i="1"/>
  <c r="K164" i="1"/>
  <c r="M165" i="1"/>
  <c r="AW166" i="1"/>
  <c r="M172" i="1"/>
  <c r="BH174" i="1"/>
  <c r="AB174" i="1" s="1"/>
  <c r="AW174" i="1"/>
  <c r="J174" i="1"/>
  <c r="BH180" i="1"/>
  <c r="AB180" i="1" s="1"/>
  <c r="AW180" i="1"/>
  <c r="J180" i="1"/>
  <c r="BI184" i="1"/>
  <c r="AC184" i="1" s="1"/>
  <c r="K184" i="1"/>
  <c r="AX184" i="1"/>
  <c r="BI197" i="1"/>
  <c r="AC197" i="1" s="1"/>
  <c r="AX197" i="1"/>
  <c r="K197" i="1"/>
  <c r="BI211" i="1"/>
  <c r="AC211" i="1" s="1"/>
  <c r="K211" i="1"/>
  <c r="BH222" i="1"/>
  <c r="AB222" i="1" s="1"/>
  <c r="AW222" i="1"/>
  <c r="BC222" i="1" s="1"/>
  <c r="J222" i="1"/>
  <c r="BH248" i="1"/>
  <c r="AB248" i="1" s="1"/>
  <c r="AW248" i="1"/>
  <c r="M251" i="1"/>
  <c r="AL251" i="1"/>
  <c r="M283" i="1"/>
  <c r="AS300" i="1"/>
  <c r="AX303" i="1"/>
  <c r="BI303" i="1"/>
  <c r="K303" i="1"/>
  <c r="K311" i="1"/>
  <c r="K310" i="1" s="1"/>
  <c r="M16" i="1"/>
  <c r="AW74" i="1"/>
  <c r="K94" i="1"/>
  <c r="AX94" i="1"/>
  <c r="AL101" i="1"/>
  <c r="J104" i="1"/>
  <c r="AX104" i="1"/>
  <c r="AW118" i="1"/>
  <c r="AV118" i="1" s="1"/>
  <c r="J134" i="1"/>
  <c r="AL138" i="1"/>
  <c r="J142" i="1"/>
  <c r="AW142" i="1"/>
  <c r="M147" i="1"/>
  <c r="K154" i="1"/>
  <c r="AW157" i="1"/>
  <c r="AV157" i="1" s="1"/>
  <c r="AW161" i="1"/>
  <c r="BC161" i="1" s="1"/>
  <c r="J166" i="1"/>
  <c r="BH167" i="1"/>
  <c r="AB167" i="1" s="1"/>
  <c r="AW167" i="1"/>
  <c r="BC167" i="1" s="1"/>
  <c r="K173" i="1"/>
  <c r="BI173" i="1"/>
  <c r="AC173" i="1" s="1"/>
  <c r="BI180" i="1"/>
  <c r="AC180" i="1" s="1"/>
  <c r="AX180" i="1"/>
  <c r="K180" i="1"/>
  <c r="M213" i="1"/>
  <c r="AL213" i="1"/>
  <c r="AX232" i="1"/>
  <c r="K232" i="1"/>
  <c r="BH241" i="1"/>
  <c r="AB241" i="1" s="1"/>
  <c r="AW241" i="1"/>
  <c r="J241" i="1"/>
  <c r="AL243" i="1"/>
  <c r="M243" i="1"/>
  <c r="AX248" i="1"/>
  <c r="K248" i="1"/>
  <c r="BH264" i="1"/>
  <c r="AB264" i="1" s="1"/>
  <c r="AW264" i="1"/>
  <c r="BC264" i="1" s="1"/>
  <c r="AX22" i="1"/>
  <c r="BC22" i="1" s="1"/>
  <c r="K158" i="1"/>
  <c r="J27" i="1"/>
  <c r="AW37" i="1"/>
  <c r="BH22" i="1"/>
  <c r="AB22" i="1" s="1"/>
  <c r="J33" i="1"/>
  <c r="AX33" i="1"/>
  <c r="O41" i="1"/>
  <c r="BH50" i="1"/>
  <c r="AB50" i="1" s="1"/>
  <c r="K57" i="1"/>
  <c r="K56" i="1" s="1"/>
  <c r="M61" i="1"/>
  <c r="AW64" i="1"/>
  <c r="AT69" i="1"/>
  <c r="J74" i="1"/>
  <c r="AX74" i="1"/>
  <c r="O78" i="1"/>
  <c r="K104" i="1"/>
  <c r="J118" i="1"/>
  <c r="J131" i="1"/>
  <c r="BI134" i="1"/>
  <c r="AC134" i="1" s="1"/>
  <c r="BI145" i="1"/>
  <c r="AC145" i="1" s="1"/>
  <c r="J151" i="1"/>
  <c r="J157" i="1"/>
  <c r="M160" i="1"/>
  <c r="BH165" i="1"/>
  <c r="AB165" i="1" s="1"/>
  <c r="J165" i="1"/>
  <c r="AW165" i="1"/>
  <c r="BC165" i="1" s="1"/>
  <c r="BH172" i="1"/>
  <c r="AB172" i="1" s="1"/>
  <c r="AW172" i="1"/>
  <c r="J172" i="1"/>
  <c r="BH181" i="1"/>
  <c r="AB181" i="1" s="1"/>
  <c r="AW181" i="1"/>
  <c r="AV181" i="1" s="1"/>
  <c r="BH186" i="1"/>
  <c r="AB186" i="1" s="1"/>
  <c r="J186" i="1"/>
  <c r="AW186" i="1"/>
  <c r="AV186" i="1" s="1"/>
  <c r="M188" i="1"/>
  <c r="O207" i="1"/>
  <c r="K216" i="1"/>
  <c r="BI223" i="1"/>
  <c r="AC223" i="1" s="1"/>
  <c r="K223" i="1"/>
  <c r="BI241" i="1"/>
  <c r="AC241" i="1" s="1"/>
  <c r="K241" i="1"/>
  <c r="AX264" i="1"/>
  <c r="K264" i="1"/>
  <c r="O271" i="1"/>
  <c r="BF280" i="1"/>
  <c r="AW33" i="1"/>
  <c r="K50" i="1"/>
  <c r="K54" i="1"/>
  <c r="AX57" i="1"/>
  <c r="J18" i="1"/>
  <c r="K33" i="1"/>
  <c r="J37" i="1"/>
  <c r="AX47" i="1"/>
  <c r="AV47" i="1" s="1"/>
  <c r="J64" i="1"/>
  <c r="AX70" i="1"/>
  <c r="K74" i="1"/>
  <c r="BH81" i="1"/>
  <c r="AB81" i="1" s="1"/>
  <c r="J89" i="1"/>
  <c r="J110" i="1"/>
  <c r="AW153" i="1"/>
  <c r="J156" i="1"/>
  <c r="AW156" i="1"/>
  <c r="J161" i="1"/>
  <c r="BI172" i="1"/>
  <c r="AC172" i="1" s="1"/>
  <c r="AX172" i="1"/>
  <c r="BC172" i="1" s="1"/>
  <c r="K172" i="1"/>
  <c r="BH177" i="1"/>
  <c r="AB177" i="1" s="1"/>
  <c r="J177" i="1"/>
  <c r="AW177" i="1"/>
  <c r="AV177" i="1" s="1"/>
  <c r="AX181" i="1"/>
  <c r="BI181" i="1"/>
  <c r="AC181" i="1" s="1"/>
  <c r="K181" i="1"/>
  <c r="BI203" i="1"/>
  <c r="AC203" i="1" s="1"/>
  <c r="K203" i="1"/>
  <c r="AX212" i="1"/>
  <c r="BI212" i="1"/>
  <c r="AC212" i="1" s="1"/>
  <c r="BH215" i="1"/>
  <c r="AB215" i="1" s="1"/>
  <c r="J215" i="1"/>
  <c r="AW215" i="1"/>
  <c r="BH219" i="1"/>
  <c r="AB219" i="1" s="1"/>
  <c r="J219" i="1"/>
  <c r="AW219" i="1"/>
  <c r="AL220" i="1"/>
  <c r="M220" i="1"/>
  <c r="M221" i="1"/>
  <c r="AL221" i="1"/>
  <c r="BH236" i="1"/>
  <c r="AB236" i="1" s="1"/>
  <c r="AW236" i="1"/>
  <c r="BC236" i="1" s="1"/>
  <c r="J236" i="1"/>
  <c r="BH170" i="1"/>
  <c r="AB170" i="1" s="1"/>
  <c r="J170" i="1"/>
  <c r="AW170" i="1"/>
  <c r="AX98" i="1"/>
  <c r="AV98" i="1" s="1"/>
  <c r="BI170" i="1"/>
  <c r="AC170" i="1" s="1"/>
  <c r="AX170" i="1"/>
  <c r="BH189" i="1"/>
  <c r="AB189" i="1" s="1"/>
  <c r="J189" i="1"/>
  <c r="AW189" i="1"/>
  <c r="BH211" i="1"/>
  <c r="AB211" i="1" s="1"/>
  <c r="J211" i="1"/>
  <c r="AW211" i="1"/>
  <c r="BI257" i="1"/>
  <c r="AC257" i="1" s="1"/>
  <c r="K257" i="1"/>
  <c r="M295" i="1"/>
  <c r="AL295" i="1"/>
  <c r="AT13" i="1"/>
  <c r="K45" i="1"/>
  <c r="K20" i="1"/>
  <c r="AX20" i="1"/>
  <c r="J16" i="1"/>
  <c r="K18" i="1"/>
  <c r="AX18" i="1"/>
  <c r="BC18" i="1" s="1"/>
  <c r="M20" i="1"/>
  <c r="AW25" i="1"/>
  <c r="BH27" i="1"/>
  <c r="AB27" i="1" s="1"/>
  <c r="K31" i="1"/>
  <c r="AX31" i="1"/>
  <c r="AV31" i="1" s="1"/>
  <c r="AX42" i="1"/>
  <c r="AT41" i="1"/>
  <c r="AW52" i="1"/>
  <c r="AX79" i="1"/>
  <c r="K89" i="1"/>
  <c r="AL98" i="1"/>
  <c r="J101" i="1"/>
  <c r="AX101" i="1"/>
  <c r="AV101" i="1" s="1"/>
  <c r="M104" i="1"/>
  <c r="K110" i="1"/>
  <c r="AW138" i="1"/>
  <c r="BC138" i="1" s="1"/>
  <c r="M145" i="1"/>
  <c r="AW147" i="1"/>
  <c r="M151" i="1"/>
  <c r="M154" i="1"/>
  <c r="K156" i="1"/>
  <c r="AX156" i="1"/>
  <c r="J160" i="1"/>
  <c r="AW160" i="1"/>
  <c r="M161" i="1"/>
  <c r="BH162" i="1"/>
  <c r="AB162" i="1" s="1"/>
  <c r="AW162" i="1"/>
  <c r="BI168" i="1"/>
  <c r="AC168" i="1" s="1"/>
  <c r="AX168" i="1"/>
  <c r="BH200" i="1"/>
  <c r="AB200" i="1" s="1"/>
  <c r="AW200" i="1"/>
  <c r="J200" i="1"/>
  <c r="BI219" i="1"/>
  <c r="AC219" i="1" s="1"/>
  <c r="K219" i="1"/>
  <c r="J264" i="1"/>
  <c r="BF284" i="1"/>
  <c r="O282" i="1"/>
  <c r="K42" i="1"/>
  <c r="K47" i="1"/>
  <c r="J52" i="1"/>
  <c r="AS60" i="1"/>
  <c r="K70" i="1"/>
  <c r="K79" i="1"/>
  <c r="AT78" i="1"/>
  <c r="BH89" i="1"/>
  <c r="AB89" i="1" s="1"/>
  <c r="M110" i="1"/>
  <c r="BH125" i="1"/>
  <c r="AB125" i="1" s="1"/>
  <c r="J153" i="1"/>
  <c r="BI162" i="1"/>
  <c r="AC162" i="1" s="1"/>
  <c r="AX162" i="1"/>
  <c r="K162" i="1"/>
  <c r="J167" i="1"/>
  <c r="BH169" i="1"/>
  <c r="AB169" i="1" s="1"/>
  <c r="AW169" i="1"/>
  <c r="M174" i="1"/>
  <c r="BH193" i="1"/>
  <c r="AB193" i="1" s="1"/>
  <c r="AW193" i="1"/>
  <c r="J193" i="1"/>
  <c r="AX200" i="1"/>
  <c r="K200" i="1"/>
  <c r="BH205" i="1"/>
  <c r="AB205" i="1" s="1"/>
  <c r="AW205" i="1"/>
  <c r="J205" i="1"/>
  <c r="M217" i="1"/>
  <c r="AL217" i="1"/>
  <c r="AS224" i="1"/>
  <c r="BI275" i="1"/>
  <c r="AC275" i="1" s="1"/>
  <c r="K275" i="1"/>
  <c r="K274" i="1" s="1"/>
  <c r="BH291" i="1"/>
  <c r="J291" i="1"/>
  <c r="AW291" i="1"/>
  <c r="M164" i="1"/>
  <c r="M169" i="1"/>
  <c r="J175" i="1"/>
  <c r="M176" i="1"/>
  <c r="M190" i="1"/>
  <c r="M195" i="1"/>
  <c r="J197" i="1"/>
  <c r="AW197" i="1"/>
  <c r="M204" i="1"/>
  <c r="M208" i="1"/>
  <c r="BF208" i="1"/>
  <c r="AL218" i="1"/>
  <c r="J257" i="1"/>
  <c r="M270" i="1"/>
  <c r="K288" i="1"/>
  <c r="F35" i="3"/>
  <c r="I35" i="3" s="1"/>
  <c r="M311" i="1"/>
  <c r="M310" i="1" s="1"/>
  <c r="BI171" i="1"/>
  <c r="AC171" i="1" s="1"/>
  <c r="M178" i="1"/>
  <c r="K194" i="1"/>
  <c r="M201" i="1"/>
  <c r="BI220" i="1"/>
  <c r="AC220" i="1" s="1"/>
  <c r="M223" i="1"/>
  <c r="M275" i="1"/>
  <c r="M274" i="1" s="1"/>
  <c r="BF275" i="1"/>
  <c r="J286" i="1"/>
  <c r="AV188" i="1"/>
  <c r="AS285" i="1"/>
  <c r="M307" i="1"/>
  <c r="M177" i="1"/>
  <c r="M180" i="1"/>
  <c r="AT224" i="1"/>
  <c r="K240" i="1"/>
  <c r="K254" i="1"/>
  <c r="M293" i="1"/>
  <c r="BI161" i="1"/>
  <c r="AC161" i="1" s="1"/>
  <c r="J176" i="1"/>
  <c r="AX176" i="1"/>
  <c r="AW178" i="1"/>
  <c r="AW183" i="1"/>
  <c r="BC183" i="1" s="1"/>
  <c r="J188" i="1"/>
  <c r="BC188" i="1"/>
  <c r="AW190" i="1"/>
  <c r="AX191" i="1"/>
  <c r="J195" i="1"/>
  <c r="AX195" i="1"/>
  <c r="K199" i="1"/>
  <c r="M200" i="1"/>
  <c r="J204" i="1"/>
  <c r="AW204" i="1"/>
  <c r="BC204" i="1" s="1"/>
  <c r="K210" i="1"/>
  <c r="AW210" i="1"/>
  <c r="AV210" i="1" s="1"/>
  <c r="AW214" i="1"/>
  <c r="BC214" i="1" s="1"/>
  <c r="M215" i="1"/>
  <c r="AW217" i="1"/>
  <c r="J221" i="1"/>
  <c r="BI222" i="1"/>
  <c r="AC222" i="1" s="1"/>
  <c r="AL223" i="1"/>
  <c r="K229" i="1"/>
  <c r="J233" i="1"/>
  <c r="K245" i="1"/>
  <c r="J260" i="1"/>
  <c r="M262" i="1"/>
  <c r="AW266" i="1"/>
  <c r="K272" i="1"/>
  <c r="K271" i="1" s="1"/>
  <c r="AW272" i="1"/>
  <c r="BC272" i="1" s="1"/>
  <c r="AL275" i="1"/>
  <c r="AU274" i="1" s="1"/>
  <c r="J280" i="1"/>
  <c r="AW280" i="1"/>
  <c r="K284" i="1"/>
  <c r="J295" i="1"/>
  <c r="AW295" i="1"/>
  <c r="K301" i="1"/>
  <c r="K300" i="1" s="1"/>
  <c r="AX301" i="1"/>
  <c r="K309" i="1"/>
  <c r="AX309" i="1"/>
  <c r="BC309" i="1" s="1"/>
  <c r="M170" i="1"/>
  <c r="K176" i="1"/>
  <c r="J178" i="1"/>
  <c r="AX178" i="1"/>
  <c r="J183" i="1"/>
  <c r="M184" i="1"/>
  <c r="AW185" i="1"/>
  <c r="BC185" i="1" s="1"/>
  <c r="K188" i="1"/>
  <c r="K195" i="1"/>
  <c r="J201" i="1"/>
  <c r="AW201" i="1"/>
  <c r="K204" i="1"/>
  <c r="M205" i="1"/>
  <c r="AL211" i="1"/>
  <c r="J213" i="1"/>
  <c r="AW213" i="1"/>
  <c r="J217" i="1"/>
  <c r="AL219" i="1"/>
  <c r="K221" i="1"/>
  <c r="K233" i="1"/>
  <c r="AL241" i="1"/>
  <c r="AW307" i="1"/>
  <c r="BC307" i="1" s="1"/>
  <c r="AL33" i="1"/>
  <c r="M33" i="1"/>
  <c r="M237" i="1"/>
  <c r="AL237" i="1"/>
  <c r="M14" i="1"/>
  <c r="C19" i="2"/>
  <c r="BC35" i="1"/>
  <c r="AV35" i="1"/>
  <c r="BC45" i="1"/>
  <c r="AV45" i="1"/>
  <c r="J54" i="1"/>
  <c r="BH66" i="1"/>
  <c r="AB66" i="1" s="1"/>
  <c r="AL70" i="1"/>
  <c r="M70" i="1"/>
  <c r="BC81" i="1"/>
  <c r="AV81" i="1"/>
  <c r="O83" i="1"/>
  <c r="AV84" i="1"/>
  <c r="BI114" i="1"/>
  <c r="AC114" i="1" s="1"/>
  <c r="AX114" i="1"/>
  <c r="L127" i="1"/>
  <c r="AV154" i="1"/>
  <c r="AX169" i="1"/>
  <c r="BI169" i="1"/>
  <c r="AC169" i="1" s="1"/>
  <c r="K169" i="1"/>
  <c r="O49" i="1"/>
  <c r="BF52" i="1"/>
  <c r="L13" i="1"/>
  <c r="AW106" i="1"/>
  <c r="BH106" i="1"/>
  <c r="AB106" i="1" s="1"/>
  <c r="O13" i="1"/>
  <c r="AL25" i="1"/>
  <c r="BC27" i="1"/>
  <c r="AV27" i="1"/>
  <c r="AL37" i="1"/>
  <c r="M37" i="1"/>
  <c r="BC61" i="1"/>
  <c r="AV61" i="1"/>
  <c r="J72" i="1"/>
  <c r="AL74" i="1"/>
  <c r="M74" i="1"/>
  <c r="J106" i="1"/>
  <c r="K114" i="1"/>
  <c r="AX190" i="1"/>
  <c r="BI190" i="1"/>
  <c r="AC190" i="1" s="1"/>
  <c r="K190" i="1"/>
  <c r="AL42" i="1"/>
  <c r="M42" i="1"/>
  <c r="C28" i="2"/>
  <c r="F28" i="2" s="1"/>
  <c r="BC39" i="1"/>
  <c r="AV39" i="1"/>
  <c r="BH54" i="1"/>
  <c r="AB54" i="1" s="1"/>
  <c r="AL64" i="1"/>
  <c r="AU60" i="1" s="1"/>
  <c r="L60" i="1"/>
  <c r="M64" i="1"/>
  <c r="BC76" i="1"/>
  <c r="AV76" i="1"/>
  <c r="AT83" i="1"/>
  <c r="BC131" i="1"/>
  <c r="AX153" i="1"/>
  <c r="BI153" i="1"/>
  <c r="AC153" i="1" s="1"/>
  <c r="K153" i="1"/>
  <c r="O56" i="1"/>
  <c r="AL29" i="1"/>
  <c r="M29" i="1"/>
  <c r="J39" i="1"/>
  <c r="BH45" i="1"/>
  <c r="AB45" i="1" s="1"/>
  <c r="O60" i="1"/>
  <c r="BF64" i="1"/>
  <c r="BC66" i="1"/>
  <c r="AV66" i="1"/>
  <c r="O69" i="1"/>
  <c r="AL84" i="1"/>
  <c r="M84" i="1"/>
  <c r="BF134" i="1"/>
  <c r="O127" i="1"/>
  <c r="AL79" i="1"/>
  <c r="AU78" i="1" s="1"/>
  <c r="M79" i="1"/>
  <c r="BC72" i="1"/>
  <c r="AV72" i="1"/>
  <c r="O109" i="1"/>
  <c r="AX157" i="1"/>
  <c r="BI157" i="1"/>
  <c r="AC157" i="1" s="1"/>
  <c r="K157" i="1"/>
  <c r="AL194" i="1"/>
  <c r="M194" i="1"/>
  <c r="C16" i="2"/>
  <c r="J22" i="1"/>
  <c r="BC31" i="1"/>
  <c r="BH35" i="1"/>
  <c r="AB35" i="1" s="1"/>
  <c r="BC50" i="1"/>
  <c r="AV50" i="1"/>
  <c r="J66" i="1"/>
  <c r="BH72" i="1"/>
  <c r="AB72" i="1" s="1"/>
  <c r="BC89" i="1"/>
  <c r="AV89" i="1"/>
  <c r="BC54" i="1"/>
  <c r="AV54" i="1"/>
  <c r="AL47" i="1"/>
  <c r="M47" i="1"/>
  <c r="BC47" i="1"/>
  <c r="AL52" i="1"/>
  <c r="L49" i="1"/>
  <c r="M52" i="1"/>
  <c r="AL57" i="1"/>
  <c r="AU56" i="1" s="1"/>
  <c r="M57" i="1"/>
  <c r="M56" i="1" s="1"/>
  <c r="BH61" i="1"/>
  <c r="AB61" i="1" s="1"/>
  <c r="AL94" i="1"/>
  <c r="M94" i="1"/>
  <c r="M245" i="1"/>
  <c r="AL245" i="1"/>
  <c r="BH98" i="1"/>
  <c r="AB98" i="1" s="1"/>
  <c r="AL121" i="1"/>
  <c r="AU109" i="1" s="1"/>
  <c r="BI121" i="1"/>
  <c r="AC121" i="1" s="1"/>
  <c r="AL128" i="1"/>
  <c r="BI128" i="1"/>
  <c r="AC128" i="1" s="1"/>
  <c r="AS127" i="1"/>
  <c r="BI138" i="1"/>
  <c r="AC138" i="1" s="1"/>
  <c r="BI163" i="1"/>
  <c r="AC163" i="1" s="1"/>
  <c r="BI175" i="1"/>
  <c r="AC175" i="1" s="1"/>
  <c r="BI183" i="1"/>
  <c r="AC183" i="1" s="1"/>
  <c r="AX187" i="1"/>
  <c r="BI187" i="1"/>
  <c r="AC187" i="1" s="1"/>
  <c r="AT207" i="1"/>
  <c r="C17" i="2"/>
  <c r="BI39" i="1"/>
  <c r="AC39" i="1" s="1"/>
  <c r="BI45" i="1"/>
  <c r="AC45" i="1" s="1"/>
  <c r="BI50" i="1"/>
  <c r="AC50" i="1" s="1"/>
  <c r="BI54" i="1"/>
  <c r="AC54" i="1" s="1"/>
  <c r="BI61" i="1"/>
  <c r="AC61" i="1" s="1"/>
  <c r="BI66" i="1"/>
  <c r="AC66" i="1" s="1"/>
  <c r="BI72" i="1"/>
  <c r="AC72" i="1" s="1"/>
  <c r="BI76" i="1"/>
  <c r="AC76" i="1" s="1"/>
  <c r="BI81" i="1"/>
  <c r="AC81" i="1" s="1"/>
  <c r="BI89" i="1"/>
  <c r="AC89" i="1" s="1"/>
  <c r="AL193" i="1"/>
  <c r="M193" i="1"/>
  <c r="L282" i="1"/>
  <c r="M284" i="1"/>
  <c r="M282" i="1" s="1"/>
  <c r="AL284" i="1"/>
  <c r="AU282" i="1" s="1"/>
  <c r="M291" i="1"/>
  <c r="AL291" i="1"/>
  <c r="BH110" i="1"/>
  <c r="AB110" i="1" s="1"/>
  <c r="K121" i="1"/>
  <c r="K128" i="1"/>
  <c r="K151" i="1"/>
  <c r="K167" i="1"/>
  <c r="K177" i="1"/>
  <c r="K185" i="1"/>
  <c r="M196" i="1"/>
  <c r="M266" i="1"/>
  <c r="AL266" i="1"/>
  <c r="BC145" i="1"/>
  <c r="AV145" i="1"/>
  <c r="AT285" i="1"/>
  <c r="C20" i="2"/>
  <c r="L109" i="1"/>
  <c r="M128" i="1"/>
  <c r="K138" i="1"/>
  <c r="K163" i="1"/>
  <c r="K175" i="1"/>
  <c r="K183" i="1"/>
  <c r="M257" i="1"/>
  <c r="AL257" i="1"/>
  <c r="C21" i="2"/>
  <c r="C27" i="2"/>
  <c r="K134" i="1"/>
  <c r="AV134" i="1"/>
  <c r="BI151" i="1"/>
  <c r="AC151" i="1" s="1"/>
  <c r="K161" i="1"/>
  <c r="BI167" i="1"/>
  <c r="AC167" i="1" s="1"/>
  <c r="BI177" i="1"/>
  <c r="AC177" i="1" s="1"/>
  <c r="BI185" i="1"/>
  <c r="AC185" i="1" s="1"/>
  <c r="AL197" i="1"/>
  <c r="BI198" i="1"/>
  <c r="AC198" i="1" s="1"/>
  <c r="BI200" i="1"/>
  <c r="AC200" i="1" s="1"/>
  <c r="BI202" i="1"/>
  <c r="AC202" i="1" s="1"/>
  <c r="BI204" i="1"/>
  <c r="AC204" i="1" s="1"/>
  <c r="BI206" i="1"/>
  <c r="AC206" i="1" s="1"/>
  <c r="AL233" i="1"/>
  <c r="L278" i="1"/>
  <c r="M280" i="1"/>
  <c r="AU302" i="1"/>
  <c r="BH188" i="1"/>
  <c r="AB188" i="1" s="1"/>
  <c r="BC283" i="1"/>
  <c r="AV283" i="1"/>
  <c r="L285" i="1"/>
  <c r="M288" i="1"/>
  <c r="BC286" i="1"/>
  <c r="AV286" i="1"/>
  <c r="I22" i="2"/>
  <c r="BC196" i="1"/>
  <c r="AV196" i="1"/>
  <c r="L207" i="1"/>
  <c r="K307" i="1"/>
  <c r="L310" i="1"/>
  <c r="BI194" i="1"/>
  <c r="AC194" i="1" s="1"/>
  <c r="BC202" i="1"/>
  <c r="AV202" i="1"/>
  <c r="AL288" i="1"/>
  <c r="M309" i="1"/>
  <c r="BI210" i="1"/>
  <c r="AC210" i="1" s="1"/>
  <c r="L224" i="1"/>
  <c r="M301" i="1"/>
  <c r="M300" i="1" s="1"/>
  <c r="AL301" i="1"/>
  <c r="AU300" i="1" s="1"/>
  <c r="BH309" i="1"/>
  <c r="I27" i="3"/>
  <c r="F29" i="3" s="1"/>
  <c r="AX199" i="1"/>
  <c r="AX201" i="1"/>
  <c r="AX203" i="1"/>
  <c r="AX205" i="1"/>
  <c r="AX208" i="1"/>
  <c r="AX211" i="1"/>
  <c r="AX213" i="1"/>
  <c r="AX215" i="1"/>
  <c r="AX217" i="1"/>
  <c r="AX219" i="1"/>
  <c r="AX221" i="1"/>
  <c r="AX223" i="1"/>
  <c r="AX229" i="1"/>
  <c r="AX233" i="1"/>
  <c r="AX237" i="1"/>
  <c r="AV237" i="1" s="1"/>
  <c r="AX241" i="1"/>
  <c r="AX245" i="1"/>
  <c r="AV245" i="1" s="1"/>
  <c r="AX251" i="1"/>
  <c r="AX257" i="1"/>
  <c r="AX262" i="1"/>
  <c r="AV262" i="1" s="1"/>
  <c r="AX266" i="1"/>
  <c r="AX270" i="1"/>
  <c r="AX275" i="1"/>
  <c r="AX280" i="1"/>
  <c r="AX284" i="1"/>
  <c r="AX288" i="1"/>
  <c r="AX291" i="1"/>
  <c r="AX295" i="1"/>
  <c r="M303" i="1"/>
  <c r="AW303" i="1"/>
  <c r="AX311" i="1"/>
  <c r="BI225" i="1"/>
  <c r="AC225" i="1" s="1"/>
  <c r="BI232" i="1"/>
  <c r="AC232" i="1" s="1"/>
  <c r="BI236" i="1"/>
  <c r="AC236" i="1" s="1"/>
  <c r="BI240" i="1"/>
  <c r="AC240" i="1" s="1"/>
  <c r="BI243" i="1"/>
  <c r="AC243" i="1" s="1"/>
  <c r="BI248" i="1"/>
  <c r="AC248" i="1" s="1"/>
  <c r="BI254" i="1"/>
  <c r="AC254" i="1" s="1"/>
  <c r="BI260" i="1"/>
  <c r="AC260" i="1" s="1"/>
  <c r="BI264" i="1"/>
  <c r="AC264" i="1" s="1"/>
  <c r="BI268" i="1"/>
  <c r="AC268" i="1" s="1"/>
  <c r="BI272" i="1"/>
  <c r="AC272" i="1" s="1"/>
  <c r="BI279" i="1"/>
  <c r="AC279" i="1" s="1"/>
  <c r="BI283" i="1"/>
  <c r="BI286" i="1"/>
  <c r="BI290" i="1"/>
  <c r="BI293" i="1"/>
  <c r="BI297" i="1"/>
  <c r="BH301" i="1"/>
  <c r="L302" i="1"/>
  <c r="O302" i="1"/>
  <c r="AV204" i="1" l="1"/>
  <c r="K278" i="1"/>
  <c r="AV266" i="1"/>
  <c r="AV175" i="1"/>
  <c r="AV70" i="1"/>
  <c r="AV169" i="1"/>
  <c r="AV257" i="1"/>
  <c r="AV279" i="1"/>
  <c r="AV198" i="1"/>
  <c r="K299" i="1"/>
  <c r="BC125" i="1"/>
  <c r="BC254" i="1"/>
  <c r="BC177" i="1"/>
  <c r="AV155" i="1"/>
  <c r="BC25" i="1"/>
  <c r="AV37" i="1"/>
  <c r="BC166" i="1"/>
  <c r="AV152" i="1"/>
  <c r="AV163" i="1"/>
  <c r="AV158" i="1"/>
  <c r="BC232" i="1"/>
  <c r="BC137" i="1"/>
  <c r="BC16" i="1"/>
  <c r="AV272" i="1"/>
  <c r="M299" i="1"/>
  <c r="L12" i="1"/>
  <c r="L312" i="1"/>
  <c r="BC268" i="1"/>
  <c r="AV192" i="1"/>
  <c r="AV260" i="1"/>
  <c r="BC187" i="1"/>
  <c r="K78" i="1"/>
  <c r="AV168" i="1"/>
  <c r="AV185" i="1"/>
  <c r="J278" i="1"/>
  <c r="AV14" i="1"/>
  <c r="J78" i="1"/>
  <c r="AV176" i="1"/>
  <c r="BC223" i="1"/>
  <c r="BC220" i="1"/>
  <c r="BC279" i="1"/>
  <c r="AV218" i="1"/>
  <c r="BC70" i="1"/>
  <c r="BC219" i="1"/>
  <c r="AV179" i="1"/>
  <c r="J69" i="1"/>
  <c r="BC164" i="1"/>
  <c r="AV251" i="1"/>
  <c r="BC210" i="1"/>
  <c r="AV22" i="1"/>
  <c r="BC200" i="1"/>
  <c r="M49" i="1"/>
  <c r="AV166" i="1"/>
  <c r="AV240" i="1"/>
  <c r="AV173" i="1"/>
  <c r="AV159" i="1"/>
  <c r="AV232" i="1"/>
  <c r="K302" i="1"/>
  <c r="AV171" i="1"/>
  <c r="AV161" i="1"/>
  <c r="AU49" i="1"/>
  <c r="BC189" i="1"/>
  <c r="AV182" i="1"/>
  <c r="AV110" i="1"/>
  <c r="AV114" i="1"/>
  <c r="AV243" i="1"/>
  <c r="BC190" i="1"/>
  <c r="BC79" i="1"/>
  <c r="BC225" i="1"/>
  <c r="BC101" i="1"/>
  <c r="J282" i="1"/>
  <c r="AV233" i="1"/>
  <c r="BC194" i="1"/>
  <c r="BC157" i="1"/>
  <c r="BC121" i="1"/>
  <c r="AV297" i="1"/>
  <c r="BC158" i="1"/>
  <c r="AV206" i="1"/>
  <c r="AV236" i="1"/>
  <c r="K69" i="1"/>
  <c r="BC84" i="1"/>
  <c r="BC168" i="1"/>
  <c r="AV20" i="1"/>
  <c r="AV142" i="1"/>
  <c r="BC215" i="1"/>
  <c r="K83" i="1"/>
  <c r="J41" i="1"/>
  <c r="BC270" i="1"/>
  <c r="AV183" i="1"/>
  <c r="BC14" i="1"/>
  <c r="BC184" i="1"/>
  <c r="BC170" i="1"/>
  <c r="BC191" i="1"/>
  <c r="BC211" i="1"/>
  <c r="AV200" i="1"/>
  <c r="BC98" i="1"/>
  <c r="BC169" i="1"/>
  <c r="BC42" i="1"/>
  <c r="AV222" i="1"/>
  <c r="AV264" i="1"/>
  <c r="K282" i="1"/>
  <c r="BC248" i="1"/>
  <c r="BC186" i="1"/>
  <c r="AV208" i="1"/>
  <c r="AV165" i="1"/>
  <c r="I45" i="3"/>
  <c r="I24" i="2" s="1"/>
  <c r="AV147" i="1"/>
  <c r="BC212" i="1"/>
  <c r="AV293" i="1"/>
  <c r="AV290" i="1"/>
  <c r="AV270" i="1"/>
  <c r="AV241" i="1"/>
  <c r="AV213" i="1"/>
  <c r="M207" i="1"/>
  <c r="BC128" i="1"/>
  <c r="BC104" i="1"/>
  <c r="BC118" i="1"/>
  <c r="M109" i="1"/>
  <c r="BC94" i="1"/>
  <c r="M78" i="1"/>
  <c r="J83" i="1"/>
  <c r="K60" i="1"/>
  <c r="J60" i="1"/>
  <c r="AV64" i="1"/>
  <c r="AV42" i="1"/>
  <c r="BC37" i="1"/>
  <c r="AV29" i="1"/>
  <c r="AV221" i="1"/>
  <c r="BC64" i="1"/>
  <c r="AV191" i="1"/>
  <c r="K285" i="1"/>
  <c r="AU207" i="1"/>
  <c r="BC74" i="1"/>
  <c r="AV164" i="1"/>
  <c r="BC152" i="1"/>
  <c r="M278" i="1"/>
  <c r="BC147" i="1"/>
  <c r="BC114" i="1"/>
  <c r="K13" i="1"/>
  <c r="AV309" i="1"/>
  <c r="AV280" i="1"/>
  <c r="M60" i="1"/>
  <c r="AV25" i="1"/>
  <c r="AV275" i="1"/>
  <c r="AV248" i="1"/>
  <c r="AV307" i="1"/>
  <c r="AU224" i="1"/>
  <c r="AV104" i="1"/>
  <c r="K224" i="1"/>
  <c r="AV16" i="1"/>
  <c r="AV170" i="1"/>
  <c r="AV214" i="1"/>
  <c r="M224" i="1"/>
  <c r="AV178" i="1"/>
  <c r="J285" i="1"/>
  <c r="J207" i="1"/>
  <c r="BC29" i="1"/>
  <c r="J49" i="1"/>
  <c r="BC229" i="1"/>
  <c r="AU41" i="1"/>
  <c r="C29" i="2"/>
  <c r="F29" i="2" s="1"/>
  <c r="J224" i="1"/>
  <c r="AV195" i="1"/>
  <c r="AV160" i="1"/>
  <c r="BC160" i="1"/>
  <c r="J109" i="1"/>
  <c r="BC57" i="1"/>
  <c r="AV57" i="1"/>
  <c r="M302" i="1"/>
  <c r="BC216" i="1"/>
  <c r="BC266" i="1"/>
  <c r="BC176" i="1"/>
  <c r="AV138" i="1"/>
  <c r="C14" i="2"/>
  <c r="BC153" i="1"/>
  <c r="BC178" i="1"/>
  <c r="BC195" i="1"/>
  <c r="AV172" i="1"/>
  <c r="AV184" i="1"/>
  <c r="AV174" i="1"/>
  <c r="BC174" i="1"/>
  <c r="BC221" i="1"/>
  <c r="BC52" i="1"/>
  <c r="AV52" i="1"/>
  <c r="AV217" i="1"/>
  <c r="BC233" i="1"/>
  <c r="BC237" i="1"/>
  <c r="BC213" i="1"/>
  <c r="AV167" i="1"/>
  <c r="AV94" i="1"/>
  <c r="AV187" i="1"/>
  <c r="BC208" i="1"/>
  <c r="K207" i="1"/>
  <c r="BC193" i="1"/>
  <c r="AV193" i="1"/>
  <c r="J127" i="1"/>
  <c r="AV74" i="1"/>
  <c r="C15" i="2"/>
  <c r="AV212" i="1"/>
  <c r="M285" i="1"/>
  <c r="BC142" i="1"/>
  <c r="AV189" i="1"/>
  <c r="AV18" i="1"/>
  <c r="BC301" i="1"/>
  <c r="AV301" i="1"/>
  <c r="BC20" i="1"/>
  <c r="AV180" i="1"/>
  <c r="BC180" i="1"/>
  <c r="AV79" i="1"/>
  <c r="AU285" i="1"/>
  <c r="AV151" i="1"/>
  <c r="AV190" i="1"/>
  <c r="BC197" i="1"/>
  <c r="AV197" i="1"/>
  <c r="AV162" i="1"/>
  <c r="BC162" i="1"/>
  <c r="K41" i="1"/>
  <c r="AV156" i="1"/>
  <c r="BC156" i="1"/>
  <c r="K49" i="1"/>
  <c r="AU69" i="1"/>
  <c r="BC33" i="1"/>
  <c r="AV33" i="1"/>
  <c r="BC181" i="1"/>
  <c r="AV219" i="1"/>
  <c r="BC217" i="1"/>
  <c r="M13" i="1"/>
  <c r="BC311" i="1"/>
  <c r="AV311" i="1"/>
  <c r="BC262" i="1"/>
  <c r="AV215" i="1"/>
  <c r="M127" i="1"/>
  <c r="BC275" i="1"/>
  <c r="K127" i="1"/>
  <c r="AV223" i="1"/>
  <c r="M41" i="1"/>
  <c r="BC106" i="1"/>
  <c r="AV106" i="1"/>
  <c r="AU13" i="1"/>
  <c r="BC251" i="1"/>
  <c r="BC280" i="1"/>
  <c r="BC199" i="1"/>
  <c r="AV199" i="1"/>
  <c r="BC303" i="1"/>
  <c r="AV303" i="1"/>
  <c r="AV153" i="1"/>
  <c r="BC241" i="1"/>
  <c r="AV211" i="1"/>
  <c r="BC257" i="1"/>
  <c r="AV229" i="1"/>
  <c r="K109" i="1"/>
  <c r="BC288" i="1"/>
  <c r="AV288" i="1"/>
  <c r="BC201" i="1"/>
  <c r="AV201" i="1"/>
  <c r="BC245" i="1"/>
  <c r="M83" i="1"/>
  <c r="BC284" i="1"/>
  <c r="AV284" i="1"/>
  <c r="BC295" i="1"/>
  <c r="AV295" i="1"/>
  <c r="BC205" i="1"/>
  <c r="AV205" i="1"/>
  <c r="BC291" i="1"/>
  <c r="AV291" i="1"/>
  <c r="BC203" i="1"/>
  <c r="AV203" i="1"/>
  <c r="AU127" i="1"/>
  <c r="J13" i="1"/>
  <c r="AU83" i="1"/>
  <c r="M69" i="1"/>
  <c r="K12" i="1" l="1"/>
  <c r="J12" i="1"/>
  <c r="M12" i="1"/>
  <c r="M312" i="1"/>
  <c r="I28" i="2"/>
  <c r="I29" i="2" s="1"/>
  <c r="C22" i="2"/>
</calcChain>
</file>

<file path=xl/sharedStrings.xml><?xml version="1.0" encoding="utf-8"?>
<sst xmlns="http://schemas.openxmlformats.org/spreadsheetml/2006/main" count="2635" uniqueCount="782">
  <si>
    <t>Název stavby:</t>
  </si>
  <si>
    <t>PE09 Parkovací dům - ON Trutnov</t>
  </si>
  <si>
    <t>Doba výstavby:</t>
  </si>
  <si>
    <t xml:space="preserve"> </t>
  </si>
  <si>
    <t>Objednatel:</t>
  </si>
  <si>
    <t> </t>
  </si>
  <si>
    <t>Druh stavby:</t>
  </si>
  <si>
    <t>Začátek výstavby:</t>
  </si>
  <si>
    <t>11.11.2024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</si>
  <si>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</si>
  <si>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</si>
  <si>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</si>
  <si>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</si>
  <si>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</si>
  <si>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</si>
  <si>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</si>
  <si>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</si>
  <si>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</si>
  <si>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</si>
  <si>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</si>
  <si>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</si>
  <si>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</si>
  <si>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</si>
  <si>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</si>
  <si>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</si>
  <si>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</si>
  <si>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</si>
  <si>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</si>
  <si>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</si>
  <si>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</si>
  <si>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</si>
  <si>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</si>
  <si>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</si>
  <si>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</si>
  <si>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</si>
  <si>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</si>
  <si>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</si>
  <si>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</si>
  <si>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</si>
  <si>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</si>
  <si>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</si>
  <si>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</si>
  <si>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</si>
  <si>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</si>
  <si>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</si>
  <si>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</si>
  <si>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</si>
  <si>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</si>
  <si>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</si>
  <si>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</si>
  <si>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</si>
  <si>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IO 200</t>
  </si>
  <si>
    <t>Komunikace a zpevněné plochy</t>
  </si>
  <si>
    <t>11</t>
  </si>
  <si>
    <t>Přípravné a přidružené práce</t>
  </si>
  <si>
    <t>1</t>
  </si>
  <si>
    <t>113106211R00</t>
  </si>
  <si>
    <t>Rozebrání dlažeb z velkých kostek v kam. těženém</t>
  </si>
  <si>
    <t>m2</t>
  </si>
  <si>
    <t>21</t>
  </si>
  <si>
    <t>11_</t>
  </si>
  <si>
    <t>IO 200_1_</t>
  </si>
  <si>
    <t>IO 200_</t>
  </si>
  <si>
    <t>35*0,5*0,25</t>
  </si>
  <si>
    <t>Odstranění přídlažby podél betonových obrub (35 ks)</t>
  </si>
  <si>
    <t>2</t>
  </si>
  <si>
    <t>113106231R00</t>
  </si>
  <si>
    <t>Rozebrání dlažeb ze zámkové dlažby v kamenivu</t>
  </si>
  <si>
    <t>5,0507+50,5967+7,5457+22,8575</t>
  </si>
  <si>
    <t>Rozebrání dlažeb chodníků</t>
  </si>
  <si>
    <t>3</t>
  </si>
  <si>
    <t>113107520R00</t>
  </si>
  <si>
    <t>Odstranění podkladu pl. 50 m2,kam.drcené tl.20 cm</t>
  </si>
  <si>
    <t>44,65*0,45+11,8862*0,45</t>
  </si>
  <si>
    <t>podkladní vrstvy ŠD, podél silničních obrub v šířce 450 mm</t>
  </si>
  <si>
    <t>4</t>
  </si>
  <si>
    <t>113107530R00</t>
  </si>
  <si>
    <t>Odstranění podkladu pl. 50 m2,kam.drcené tl.30 cm</t>
  </si>
  <si>
    <t>7,2</t>
  </si>
  <si>
    <t>Odstranění podkladních vrstev pod vozovkou v místě překopu</t>
  </si>
  <si>
    <t>5</t>
  </si>
  <si>
    <t>113107630R00</t>
  </si>
  <si>
    <t>Odstranění podkladu nad 50 m2,kam.drcené tl.30 cm</t>
  </si>
  <si>
    <t>382,6931+18,4684+12,5226</t>
  </si>
  <si>
    <t>Odstranění podkladních vrstev plochy parkoviště a asf. chodníků</t>
  </si>
  <si>
    <t>65,6529</t>
  </si>
  <si>
    <t>Odstranění podkladních vrstev plochy parkoviště (betonové plochy)</t>
  </si>
  <si>
    <t>6</t>
  </si>
  <si>
    <t>Odstranění podkladních vrstev pod dlažbou</t>
  </si>
  <si>
    <t>7</t>
  </si>
  <si>
    <t>113108315R00</t>
  </si>
  <si>
    <t>Odstranění asfaltové vrstvy pl. do 50 m2, tl.15 cm</t>
  </si>
  <si>
    <t>9,48</t>
  </si>
  <si>
    <t>Plocha překopu</t>
  </si>
  <si>
    <t>8</t>
  </si>
  <si>
    <t>113108415R00</t>
  </si>
  <si>
    <t>Odstranění asfaltové vrstvy pl.nad 50 m2, tl.15 cm</t>
  </si>
  <si>
    <t>Odstranění stávajících asf. vrstev plochy parkoviště a asf. chodníků</t>
  </si>
  <si>
    <t>9</t>
  </si>
  <si>
    <t>113109315R00</t>
  </si>
  <si>
    <t>Odstranění podkladu pl.50 m2, bet.prostý tl.15 cm</t>
  </si>
  <si>
    <t>11,52</t>
  </si>
  <si>
    <t>Odstranění stávajících betonových odvodňovacích tvarovek</t>
  </si>
  <si>
    <t>10</t>
  </si>
  <si>
    <t>113151113R00</t>
  </si>
  <si>
    <t>Fréz.živič.krytu pl.do 500 m2,pruh do 75 cm,tl.4cm</t>
  </si>
  <si>
    <t>44,65*0,75+11,8862*0,75</t>
  </si>
  <si>
    <t>Frézování podél silničních obrub v šířce 750 mm</t>
  </si>
  <si>
    <t>113151116R00</t>
  </si>
  <si>
    <t>Fréz.živič.krytu pl.do 500 m2,pruh do 75 cm,tl.7cm</t>
  </si>
  <si>
    <t>44,65*0,6+11,8862*0,6</t>
  </si>
  <si>
    <t>Frézování podkladní vrstvy asfaltu, podél silničních obrub v šířce 600 mm</t>
  </si>
  <si>
    <t>12</t>
  </si>
  <si>
    <t>113202111R00</t>
  </si>
  <si>
    <t>Vytrhání obrub obrubníků silničních</t>
  </si>
  <si>
    <t>m</t>
  </si>
  <si>
    <t>58,3946+18,5634+53,5982+12,4135+8,3802</t>
  </si>
  <si>
    <t>Obruby silniční a chodníkové průřezu 150/250 nebo 150/150 a 100/250, vč. betonového lože</t>
  </si>
  <si>
    <t>13</t>
  </si>
  <si>
    <t>113231320R00</t>
  </si>
  <si>
    <t>Bourání odvodňovacího žlabu, zatíž. C250, š.200 mm</t>
  </si>
  <si>
    <t>8,5</t>
  </si>
  <si>
    <t>Bourání odvod. žlabu vč. beton lože u příjezdu</t>
  </si>
  <si>
    <t>Hloubené vykopávky</t>
  </si>
  <si>
    <t>14</t>
  </si>
  <si>
    <t>130901121RT3</t>
  </si>
  <si>
    <t>Bourání konstrukcí z betonu prostého ve vykopávk.</t>
  </si>
  <si>
    <t>m3</t>
  </si>
  <si>
    <t>13_</t>
  </si>
  <si>
    <t>bagrem s kladivem</t>
  </si>
  <si>
    <t>(58,3946+18,5634+53,5982+12,4135+8,3802)*0,03</t>
  </si>
  <si>
    <t>lože pod obrubníky</t>
  </si>
  <si>
    <t>15</t>
  </si>
  <si>
    <t>131201110R00</t>
  </si>
  <si>
    <t>Hloubení nezapaž. jam hor.3 do 50 m3, STROJNĚ</t>
  </si>
  <si>
    <t>3*(3,14159*0,4125*0,4125)*1,3+2*(3,14159*0,3575*0,3575)*1,3</t>
  </si>
  <si>
    <t>Hloubení jam pro osazení drenážních šachet</t>
  </si>
  <si>
    <t>16</t>
  </si>
  <si>
    <t>131201112R00</t>
  </si>
  <si>
    <t>Hloubení nezapaž. jam hor.3 do 1000 m3, STROJNĚ</t>
  </si>
  <si>
    <t>548,39</t>
  </si>
  <si>
    <t>pro parkoviště a vjezd + chodník</t>
  </si>
  <si>
    <t>17</t>
  </si>
  <si>
    <t>Konstrukce ze zemin</t>
  </si>
  <si>
    <t>171102111R00</t>
  </si>
  <si>
    <t>Uložení sypaniny do násypů v aktivní zóně</t>
  </si>
  <si>
    <t>17_</t>
  </si>
  <si>
    <t>284,98</t>
  </si>
  <si>
    <t>Zemina v aktivní zóně parkoviště a vjezdu - tl. 50 cm</t>
  </si>
  <si>
    <t>18</t>
  </si>
  <si>
    <t>5832111R</t>
  </si>
  <si>
    <t>Zemina vhodná do aktivní zóny, recykovaná, tříděná, hutnitelná do zásypů</t>
  </si>
  <si>
    <t>t</t>
  </si>
  <si>
    <t>284,98*1,8</t>
  </si>
  <si>
    <t>Nenamrzavý, objemově stálý a zhutnitelný materiál dle ČSN 73 6133</t>
  </si>
  <si>
    <t>19</t>
  </si>
  <si>
    <t>174101101R00</t>
  </si>
  <si>
    <t>Zásyp jam, rýh, šachet se zhutněním</t>
  </si>
  <si>
    <t>0,3927*1,3*3+0,3236*1,3*2</t>
  </si>
  <si>
    <t>Zásyp drenážních šachet zeminou vhodnou dle výrobce</t>
  </si>
  <si>
    <t>Povrchové úpravy terénu</t>
  </si>
  <si>
    <t>20</t>
  </si>
  <si>
    <t>181101102R00</t>
  </si>
  <si>
    <t>Úprava pláně v zářezech v hor. 1-4, se zhutněním</t>
  </si>
  <si>
    <t>18_</t>
  </si>
  <si>
    <t>606,9266*1,1</t>
  </si>
  <si>
    <t>Úprava pláně pod pojížděnými plochami, Edef,2=45 MPa, 100% PS; (rezerva 10%)</t>
  </si>
  <si>
    <t>165,7476*1,1</t>
  </si>
  <si>
    <t>Úprava pláně pod pochozími plochami; Edef,2=30 MPa, 100% PS; (rezerva 10%)</t>
  </si>
  <si>
    <t>Úprava podloží a základové spáry</t>
  </si>
  <si>
    <t>212810010RAE</t>
  </si>
  <si>
    <t>Trativody z PVC drenážních flexibilních trubek</t>
  </si>
  <si>
    <t>21_</t>
  </si>
  <si>
    <t>IO 200_2_</t>
  </si>
  <si>
    <t>lože štěrkopísek a obsyp kamenivo, trubky d 200 mm</t>
  </si>
  <si>
    <t>28,2+5,5+36,15+11</t>
  </si>
  <si>
    <t>podélné drenáže, obsyp kamenivem fr. 8/16</t>
  </si>
  <si>
    <t>22</t>
  </si>
  <si>
    <t>212971110R00</t>
  </si>
  <si>
    <t>Opláštění trativodů z geotext., do sklonu 1:2,5</t>
  </si>
  <si>
    <t>80,85*2,15</t>
  </si>
  <si>
    <t>23</t>
  </si>
  <si>
    <t>67352004</t>
  </si>
  <si>
    <t>Geotextilie netkaná PK-Nontex PET 300 g/m2</t>
  </si>
  <si>
    <t>173,827</t>
  </si>
  <si>
    <t>;ztratné 18%; 31,28886</t>
  </si>
  <si>
    <t>27</t>
  </si>
  <si>
    <t>Základy</t>
  </si>
  <si>
    <t>24</t>
  </si>
  <si>
    <t>274324117R00</t>
  </si>
  <si>
    <t>Železobeton zákl. pasů z betonu C 25/30</t>
  </si>
  <si>
    <t>27_</t>
  </si>
  <si>
    <t>1,1*0,5*2,8</t>
  </si>
  <si>
    <t>základ pod schodišťové bloky</t>
  </si>
  <si>
    <t>25</t>
  </si>
  <si>
    <t>274354111R00</t>
  </si>
  <si>
    <t>Bednění základových pasů zřízení</t>
  </si>
  <si>
    <t>1*2,1+2*1,15*0,8</t>
  </si>
  <si>
    <t>26</t>
  </si>
  <si>
    <t>274354211R00</t>
  </si>
  <si>
    <t>Bednění základových pasů odstranění</t>
  </si>
  <si>
    <t>43</t>
  </si>
  <si>
    <t>Schodiště</t>
  </si>
  <si>
    <t>434121416RAX</t>
  </si>
  <si>
    <t>Dodávka a osazení schodišťového bloku 1650x350x150 mm</t>
  </si>
  <si>
    <t>43_</t>
  </si>
  <si>
    <t>IO 200_4_</t>
  </si>
  <si>
    <t>z betonu C35/45 XF4</t>
  </si>
  <si>
    <t>45</t>
  </si>
  <si>
    <t>Podkladní a vedlejší konstrukce (kromě vozovek a železničního svršku)</t>
  </si>
  <si>
    <t>28</t>
  </si>
  <si>
    <t>451572111R00</t>
  </si>
  <si>
    <t>Lože pod potrubí z kameniva těženého 0 - 4 mm</t>
  </si>
  <si>
    <t>45_</t>
  </si>
  <si>
    <t>2*3,14159*0,2575*0,2575*0,1+3*3,14159*0,3125*0,3125*0,1</t>
  </si>
  <si>
    <t>Lože pod drenážní šachty tl. 100 mm ze ŠP</t>
  </si>
  <si>
    <t>29</t>
  </si>
  <si>
    <t>452311131R0</t>
  </si>
  <si>
    <t>Podkladní beton C 12/15 tl. 100 mm</t>
  </si>
  <si>
    <t>2,1*1,15*0,1</t>
  </si>
  <si>
    <t>Podkladní beton pod základ pro schody</t>
  </si>
  <si>
    <t>56</t>
  </si>
  <si>
    <t>Podkladní vrstvy komunikací, letišť a ploch</t>
  </si>
  <si>
    <t>30</t>
  </si>
  <si>
    <t>564851111RT2</t>
  </si>
  <si>
    <t>Podklad ze štěrkodrti po zhutnění tloušťky 15 cm</t>
  </si>
  <si>
    <t>56_</t>
  </si>
  <si>
    <t>IO 200_5_</t>
  </si>
  <si>
    <t>štěrkodrť frakce 0-32 mm</t>
  </si>
  <si>
    <t>385,39</t>
  </si>
  <si>
    <t>Štěrkodrť ŠDA fr. 0.32 GE 150 mm hutněná; v ploše parkoviště a vjezdu</t>
  </si>
  <si>
    <t>7,22</t>
  </si>
  <si>
    <t>Štěrkodrť ŠDA fr. 0.32 GE 150 mm hutněná; v ploše překopu</t>
  </si>
  <si>
    <t>(5*28,91*1,1)+(22,4*2,15+(3,75*2,15)/2+(2,2*2,15)/2)*1,1</t>
  </si>
  <si>
    <t>Štěrkodrť ŠDA fr. 0.32 GE 150 mm hutněná; plocha: kolmá a podélná parkovací stání; (vč. rezervy 10%)</t>
  </si>
  <si>
    <t>31</t>
  </si>
  <si>
    <t>564861111RT2</t>
  </si>
  <si>
    <t>Podklad ze štěrkodrti po zhutnění tloušťky 20 cm</t>
  </si>
  <si>
    <t>Štěrkodrť ŠDB fr. 0.32 GN 200 mm hutněná; v ploše parkoviště a vjezdu</t>
  </si>
  <si>
    <t>6,08</t>
  </si>
  <si>
    <t>Štěrkodrť ŠDB fr. 0.32 GN 200 mm hutněná; v ploše překopu</t>
  </si>
  <si>
    <t>Štěrkodrť ŠDB fr. 0.32 GN 200 mm hutněná; plocha: kolmá a podélná parkovací stání (vč. rezervy 10%)</t>
  </si>
  <si>
    <t>32</t>
  </si>
  <si>
    <t>564871111RT2</t>
  </si>
  <si>
    <t>Podklad ze štěrkodrti po zhutnění tloušťky 25 cm</t>
  </si>
  <si>
    <t>41,3687*0,45+11,8833*0,45</t>
  </si>
  <si>
    <t>Štěrkodrť ŠDB fr. 0.32 GN 250 mm hutněná; v ploše podél obrubníků chodníku</t>
  </si>
  <si>
    <t>(153,27+10,33)*1,15</t>
  </si>
  <si>
    <t>Štěrkodrť fr. 0/32 zrnitost GN, dle ČSN 73 6126-1, ČSN EN 13285, hutněná 100% PS, rezerva 15%, pocho</t>
  </si>
  <si>
    <t>33</t>
  </si>
  <si>
    <t>565151111RT4</t>
  </si>
  <si>
    <t>Podklad z obal kam.ACP 16+,ACP 22+,do 3 m,tl. 7 cm</t>
  </si>
  <si>
    <t>41,3687*0,6+11,8833*0,6</t>
  </si>
  <si>
    <t>ACP 16+ 50/70; v ploše podél obrubníků chodníku v šířce 600 mm</t>
  </si>
  <si>
    <t>8,35</t>
  </si>
  <si>
    <t>34</t>
  </si>
  <si>
    <t>565151211RT2</t>
  </si>
  <si>
    <t>Podklad z obal kam.ACP 16+,ACP 22+,nad 3 m,tl.7 cm</t>
  </si>
  <si>
    <t>plochy 201-1000 m2</t>
  </si>
  <si>
    <t>ACP 16+ 50/70; v ploše parkoviště a vjezdu</t>
  </si>
  <si>
    <t>35</t>
  </si>
  <si>
    <t>568111111R00</t>
  </si>
  <si>
    <t>Zřízení vrstvy z geotextilie skl.do 1:5, š.do 3 m</t>
  </si>
  <si>
    <t>713,658*1,1</t>
  </si>
  <si>
    <t>36</t>
  </si>
  <si>
    <t>Geotextilie netkaná 300 g/m2</t>
  </si>
  <si>
    <t>785,02</t>
  </si>
  <si>
    <t>;ztratné 18%; 141,3036</t>
  </si>
  <si>
    <t>57</t>
  </si>
  <si>
    <t>Kryty pozemních komunikací, letišť a ploch z kameniva nebo živičné</t>
  </si>
  <si>
    <t>37</t>
  </si>
  <si>
    <t>573111124R00</t>
  </si>
  <si>
    <t>Postřik infiltrační, množství zbytkového asfaltového pojiva 1,00 kg/m2</t>
  </si>
  <si>
    <t>57_</t>
  </si>
  <si>
    <t>V ploše parkoviště a vjezdu</t>
  </si>
  <si>
    <t>31,95</t>
  </si>
  <si>
    <t>V ploše podél obrubníků chodníku</t>
  </si>
  <si>
    <t>V ploše překopu</t>
  </si>
  <si>
    <t>38</t>
  </si>
  <si>
    <t>573231123R00</t>
  </si>
  <si>
    <t>Postřik spojovací z KAE, množství zbytkového asfaltu 0,3 kg/m2</t>
  </si>
  <si>
    <t>39,94</t>
  </si>
  <si>
    <t>39</t>
  </si>
  <si>
    <t>577131111RT4</t>
  </si>
  <si>
    <t>Beton asfalt. ACO 11+ obrusný, š. do 3 m, tl. 4 cm</t>
  </si>
  <si>
    <t>41,3687*0,75+11,8833*0,75</t>
  </si>
  <si>
    <t>ACO 11+ PMB 25/55-60; v ploše podél obrubníků chodníku v šířce 750 mm</t>
  </si>
  <si>
    <t>ACO 11+ PMB 25/55-60; v ploše překopu</t>
  </si>
  <si>
    <t>40</t>
  </si>
  <si>
    <t>577132111RT2</t>
  </si>
  <si>
    <t>Beton asfalt. ACO 11+ obrusný, š.nad 3 m, tl. 4 cm</t>
  </si>
  <si>
    <t>ACO 11+ PMB 25/55-60; v ploše parkoviště a vjezdu</t>
  </si>
  <si>
    <t>581</t>
  </si>
  <si>
    <t>Kryty pozemních komunikací z betonu prostého</t>
  </si>
  <si>
    <t>41</t>
  </si>
  <si>
    <t>581121112</t>
  </si>
  <si>
    <t>Kryt vozovek betonu prostého C25/30 XF3, tl. 120 mm</t>
  </si>
  <si>
    <t>581_</t>
  </si>
  <si>
    <t>0,78*0,12*8+0,87*0,12+2,18*0,12</t>
  </si>
  <si>
    <t>Parkovací klíny</t>
  </si>
  <si>
    <t>59</t>
  </si>
  <si>
    <t>Kryty pozemních komunikací, letišť a ploch dlážděných (předlažby)</t>
  </si>
  <si>
    <t>42</t>
  </si>
  <si>
    <t>596215020R00</t>
  </si>
  <si>
    <t>Kladení zámkové dlažby tl. 6 cm do drtě tl. 3 cm</t>
  </si>
  <si>
    <t>59_</t>
  </si>
  <si>
    <t>8,57*1,5+2,2*4,5+((4,5*1,39)/2)+61,443+22,6547+2,4*1,45+1,7*1,85+18,33*2</t>
  </si>
  <si>
    <t>přírodní, v ploše chodníků, dle  ČSN 73 6131</t>
  </si>
  <si>
    <t>3,6547*0,4+5,9962*0,4+1,3948*0,8+4,9715*0,4+1,5492*0,8+5,3219*0,4</t>
  </si>
  <si>
    <t>červená reliéfní, v ploše chodníků, dle  ČSN 73 6131</t>
  </si>
  <si>
    <t>592451151</t>
  </si>
  <si>
    <t>Dlažba skladebná HOLLAND I SPL pro nevidomé 200 x 100 x 60 mm červená</t>
  </si>
  <si>
    <t>153,265</t>
  </si>
  <si>
    <t>;ztratné 3%; 4,59795</t>
  </si>
  <si>
    <t>44</t>
  </si>
  <si>
    <t>59245110</t>
  </si>
  <si>
    <t>Dlažba skladebná HOLLAND I 200 x 100 x 60 mm přírodní</t>
  </si>
  <si>
    <t>10,333</t>
  </si>
  <si>
    <t>;ztratné 3%; 0,30999</t>
  </si>
  <si>
    <t>596215028R00</t>
  </si>
  <si>
    <t>Příplatek za více barev dlažby tl. 6 cm, do drtě</t>
  </si>
  <si>
    <t>46</t>
  </si>
  <si>
    <t>596215040R00</t>
  </si>
  <si>
    <t>Kladení zámkové dlažby tl. 8 cm do drtě tl. 4 cm</t>
  </si>
  <si>
    <t>v ploše chodníků, dle  ČSN 73 6131</t>
  </si>
  <si>
    <t>5,86*4,7+(2,35*4,7)*7+2,2*4,7+2,6*4,7+6,7*1,85</t>
  </si>
  <si>
    <t>(3,2*1,85)/2+6,85*1,85+6,6*1,85+(1,85*1,85)/2</t>
  </si>
  <si>
    <t>47</t>
  </si>
  <si>
    <t>592451178</t>
  </si>
  <si>
    <t>Dlažba skladebná HOLLAND I BF 200 x 100 x 80 mm přírodní</t>
  </si>
  <si>
    <t>169,37</t>
  </si>
  <si>
    <t>;ztratné 3%; 5,0811</t>
  </si>
  <si>
    <t>48</t>
  </si>
  <si>
    <t>596291111R00</t>
  </si>
  <si>
    <t>Řezání zámkové dlažby tl. 60 mm</t>
  </si>
  <si>
    <t>7,1+7,8824+28,2214+40,9645+36,3649+44,8403+15,0071+20,3296+4,6157+10,9413+12,2496+4,3876+7,4818</t>
  </si>
  <si>
    <t>Řezání dlažby (šedá+červená) na pochozích plochách</t>
  </si>
  <si>
    <t>49</t>
  </si>
  <si>
    <t>596291113R00</t>
  </si>
  <si>
    <t>Řezání zámkové dlažby tl. 80 mm</t>
  </si>
  <si>
    <t>Řezání dlažby na pojízdných plochách</t>
  </si>
  <si>
    <t>5,8*2+4,7*2+((4,7*2+2,35*2)*7)+4,7*2+2,2*2+4,7*2+2,6*2+2*6,7</t>
  </si>
  <si>
    <t>2*1,85+6,85*2+1,85*2+6,6*2+1,85*2+3,2+1,85+3,7+1,85*2+2,6</t>
  </si>
  <si>
    <t>50</t>
  </si>
  <si>
    <t>597000101RA1</t>
  </si>
  <si>
    <t>Osazení žlabu 1</t>
  </si>
  <si>
    <t>51</t>
  </si>
  <si>
    <t>Zlab1_151846</t>
  </si>
  <si>
    <t>Kalový koš; pozink. ocel; EN 1500; DM 1500</t>
  </si>
  <si>
    <t>52</t>
  </si>
  <si>
    <t>Zlab1_153155</t>
  </si>
  <si>
    <t>Rošt litinový můstkový 12/147; D400; dl. 0,5m</t>
  </si>
  <si>
    <t>53</t>
  </si>
  <si>
    <t>Zlab1_154711</t>
  </si>
  <si>
    <t>Spodní díl vpusti krátký; s předformovaným odtokem DN160/200; EN1500, EN2000, EN3000, dl. 0,524m</t>
  </si>
  <si>
    <t>54</t>
  </si>
  <si>
    <t>Zlab1_712938</t>
  </si>
  <si>
    <t>DM 1500.0/280 žlab bez spádu; F900; dl. 1m</t>
  </si>
  <si>
    <t>55</t>
  </si>
  <si>
    <t>Zlab1_712950</t>
  </si>
  <si>
    <t>DM 1500.0 R revizní díl; dl 0,5m</t>
  </si>
  <si>
    <t>Zlab1_712952</t>
  </si>
  <si>
    <t>DM 1500 horní díl vpusti; dl. 0,5m</t>
  </si>
  <si>
    <t>Zlab1_712954</t>
  </si>
  <si>
    <t>DM 1500 čelo plné pro začátek a konec žlabu, pozinkovaná ocel</t>
  </si>
  <si>
    <t>58</t>
  </si>
  <si>
    <t>597000102RA1</t>
  </si>
  <si>
    <t>Osazení žlabu 2</t>
  </si>
  <si>
    <t>Zlab2_712838</t>
  </si>
  <si>
    <t>Rošt litinový můstkový 12/147; C250; dl. 0,5m</t>
  </si>
  <si>
    <t>60</t>
  </si>
  <si>
    <t>Zlab2_713300</t>
  </si>
  <si>
    <t>SV1500.0 žlab s pozink hranou dl. 1 m bez spádu</t>
  </si>
  <si>
    <t>61</t>
  </si>
  <si>
    <t>Zlab2_713326</t>
  </si>
  <si>
    <t>SV1500 Vpust vč. kalové jímky; pro napojení DN150; dl. 0,5m</t>
  </si>
  <si>
    <t>62</t>
  </si>
  <si>
    <t>Zlab2_713334</t>
  </si>
  <si>
    <t>SV1500.1 žlab s pozink hranou dl. 0,5 m bez spádu</t>
  </si>
  <si>
    <t>63</t>
  </si>
  <si>
    <t>Zlab2_713358</t>
  </si>
  <si>
    <t>SV/SG 1500-20. SE Čelní stěna</t>
  </si>
  <si>
    <t>64</t>
  </si>
  <si>
    <t>597000103RA1</t>
  </si>
  <si>
    <t>Osazení žlabu 3</t>
  </si>
  <si>
    <t>65</t>
  </si>
  <si>
    <t>Zlab3_712838</t>
  </si>
  <si>
    <t>66</t>
  </si>
  <si>
    <t>Zlab3_713300</t>
  </si>
  <si>
    <t>67</t>
  </si>
  <si>
    <t>Zlab3_713326</t>
  </si>
  <si>
    <t>68</t>
  </si>
  <si>
    <t>Zlab3_713334</t>
  </si>
  <si>
    <t>69</t>
  </si>
  <si>
    <t>Zlab3_713358</t>
  </si>
  <si>
    <t>70</t>
  </si>
  <si>
    <t>597000104RA1</t>
  </si>
  <si>
    <t>Osazení žlabu 4</t>
  </si>
  <si>
    <t>71</t>
  </si>
  <si>
    <t>Zlab4_712840</t>
  </si>
  <si>
    <t>72</t>
  </si>
  <si>
    <t>Zlab4_713312</t>
  </si>
  <si>
    <t>SV1501 žlab s pozink hranou dl. 1 m se spádem dna</t>
  </si>
  <si>
    <t>73</t>
  </si>
  <si>
    <t>Zlab4_713314</t>
  </si>
  <si>
    <t>SV1502 žlab s pozink hranou dl. 1 m se spádem dna</t>
  </si>
  <si>
    <t>74</t>
  </si>
  <si>
    <t>Zlab4_713316</t>
  </si>
  <si>
    <t>SV1503 žlab s pozink hranou dl. 1 m se spádem dna</t>
  </si>
  <si>
    <t>75</t>
  </si>
  <si>
    <t>Zlab4_713318</t>
  </si>
  <si>
    <t>SV1504 žlab s pozink hranou dl. 1 m se spádem dna</t>
  </si>
  <si>
    <t>76</t>
  </si>
  <si>
    <t>Zlab4_713320</t>
  </si>
  <si>
    <t>SV1505 žlab s pozink hranou dl. 1 m se spádem dna</t>
  </si>
  <si>
    <t>77</t>
  </si>
  <si>
    <t>Zlab4_713326</t>
  </si>
  <si>
    <t>78</t>
  </si>
  <si>
    <t>Zlab4_713336</t>
  </si>
  <si>
    <t>SV1510.0 žlab s pozink hranou dl. 1 m bez spádu</t>
  </si>
  <si>
    <t>79</t>
  </si>
  <si>
    <t>Zlab4_713340</t>
  </si>
  <si>
    <t>SV1510.1 žlab s pozink hranou dl. 0,5 m</t>
  </si>
  <si>
    <t>80</t>
  </si>
  <si>
    <t>Zlab4_713348</t>
  </si>
  <si>
    <t>SV1506 žlab s pozink hranou dl. 1 m se spádem dna</t>
  </si>
  <si>
    <t>81</t>
  </si>
  <si>
    <t>Zlab4_713350</t>
  </si>
  <si>
    <t>SV1507 žlab s pozink hranou dl. 1 m se spádem dna</t>
  </si>
  <si>
    <t>82</t>
  </si>
  <si>
    <t>Zlab4_713352</t>
  </si>
  <si>
    <t>SV1508 žlab s pozink hranou dl. 1 m se spádem dna</t>
  </si>
  <si>
    <t>83</t>
  </si>
  <si>
    <t>Zlab4_713354</t>
  </si>
  <si>
    <t>SV1509 žlab s pozink hranou dl. 1 m se spádem dna</t>
  </si>
  <si>
    <t>84</t>
  </si>
  <si>
    <t>Zlab4_713356</t>
  </si>
  <si>
    <t>SV1510 žlab s pozink hranou dl. 1 m se spádem dna</t>
  </si>
  <si>
    <t>85</t>
  </si>
  <si>
    <t>Zlab4_713358</t>
  </si>
  <si>
    <t>86</t>
  </si>
  <si>
    <t>597000105RA1</t>
  </si>
  <si>
    <t>Osazení žlabu 5</t>
  </si>
  <si>
    <t>87</t>
  </si>
  <si>
    <t>Zlab5_712837</t>
  </si>
  <si>
    <t>Rošt můstkový 12/147 B125 litina - 0,5 m</t>
  </si>
  <si>
    <t>88</t>
  </si>
  <si>
    <t>Zlab5_713300</t>
  </si>
  <si>
    <t>89</t>
  </si>
  <si>
    <t>Zlab5_713312</t>
  </si>
  <si>
    <t>90</t>
  </si>
  <si>
    <t>Zlab5_713314</t>
  </si>
  <si>
    <t>91</t>
  </si>
  <si>
    <t>Zlab5_713316</t>
  </si>
  <si>
    <t>92</t>
  </si>
  <si>
    <t>Zlab5_713318</t>
  </si>
  <si>
    <t>93</t>
  </si>
  <si>
    <t>Zlab5_713320</t>
  </si>
  <si>
    <t>94</t>
  </si>
  <si>
    <t>Zlab5_713336</t>
  </si>
  <si>
    <t>95</t>
  </si>
  <si>
    <t>Zlab5_713348</t>
  </si>
  <si>
    <t>96</t>
  </si>
  <si>
    <t>Zlab5_713350</t>
  </si>
  <si>
    <t>97</t>
  </si>
  <si>
    <t>Zlab5_713352</t>
  </si>
  <si>
    <t>98</t>
  </si>
  <si>
    <t>Zlab5_713354</t>
  </si>
  <si>
    <t>99</t>
  </si>
  <si>
    <t>Zlab5_713356</t>
  </si>
  <si>
    <t>100</t>
  </si>
  <si>
    <t>Zlab5_713358</t>
  </si>
  <si>
    <t>101</t>
  </si>
  <si>
    <t>597000106RA1</t>
  </si>
  <si>
    <t>Osazení žlabu 6</t>
  </si>
  <si>
    <t>102</t>
  </si>
  <si>
    <t>Zlab6_712837</t>
  </si>
  <si>
    <t>103</t>
  </si>
  <si>
    <t>Zlab6_713300</t>
  </si>
  <si>
    <t>104</t>
  </si>
  <si>
    <t>Zlab6_713326</t>
  </si>
  <si>
    <t>105</t>
  </si>
  <si>
    <t>Zlab6_713358</t>
  </si>
  <si>
    <t>Ostatní konstrukce a práce na trubním vedení</t>
  </si>
  <si>
    <t>106</t>
  </si>
  <si>
    <t>899431111R00</t>
  </si>
  <si>
    <t>Výšková úprava do 20 cm, zvýšení krytu šoupěte</t>
  </si>
  <si>
    <t>kus</t>
  </si>
  <si>
    <t>89_</t>
  </si>
  <si>
    <t>IO 200_8_</t>
  </si>
  <si>
    <t>Výšková úprava šoupěte v chodníku</t>
  </si>
  <si>
    <t>107</t>
  </si>
  <si>
    <t>894432111R00</t>
  </si>
  <si>
    <t>Osazení plastové šachty revizní prům.315 mm</t>
  </si>
  <si>
    <t>108</t>
  </si>
  <si>
    <t>28697107</t>
  </si>
  <si>
    <t>Dno šachtové pro KG 315/200 mm přímý tok T1 PP</t>
  </si>
  <si>
    <t>109</t>
  </si>
  <si>
    <t>28697103.A</t>
  </si>
  <si>
    <t>Roura šachtová korugovaná  bez hrdla 315/1250 mm</t>
  </si>
  <si>
    <t>110</t>
  </si>
  <si>
    <t>28651833.A</t>
  </si>
  <si>
    <t>Zátka hrdla kanalizační KGM DN 200 PVC</t>
  </si>
  <si>
    <t>111</t>
  </si>
  <si>
    <t>894432112R00</t>
  </si>
  <si>
    <t>Osazení plastové šachty revizní prům.425 mm</t>
  </si>
  <si>
    <t>112</t>
  </si>
  <si>
    <t>286971682</t>
  </si>
  <si>
    <t>Dno šachtové výkyvné 425/200 typ T pro KG</t>
  </si>
  <si>
    <t>113</t>
  </si>
  <si>
    <t>59224201</t>
  </si>
  <si>
    <t>114</t>
  </si>
  <si>
    <t>286971471</t>
  </si>
  <si>
    <t>Těsnění šachtové roury a teleskopu 425 mm</t>
  </si>
  <si>
    <t>115</t>
  </si>
  <si>
    <t>286971680</t>
  </si>
  <si>
    <t>Dno šachtové výkyvné 425/200 úhel 60° pro KG</t>
  </si>
  <si>
    <t>116</t>
  </si>
  <si>
    <t>286971402</t>
  </si>
  <si>
    <t>Roura šachtová korugovaná bez hrdla 425/1500 mm</t>
  </si>
  <si>
    <t>117</t>
  </si>
  <si>
    <t>899101111R00</t>
  </si>
  <si>
    <t>Osazení poklopu do 50 kg</t>
  </si>
  <si>
    <t>118</t>
  </si>
  <si>
    <t>28697143</t>
  </si>
  <si>
    <t>Poklop PP kruhový DN 315, pachotěsný s madlem</t>
  </si>
  <si>
    <t>119</t>
  </si>
  <si>
    <t>59224208</t>
  </si>
  <si>
    <t>Poklop betonový 425/7 t</t>
  </si>
  <si>
    <t>120</t>
  </si>
  <si>
    <t>28697144</t>
  </si>
  <si>
    <t>Poklop PP kruhový DN 425, pachotěsný s madlem</t>
  </si>
  <si>
    <t>Doplňující konstrukce a práce na pozemních komunikacích a zpevněných plochách</t>
  </si>
  <si>
    <t>121</t>
  </si>
  <si>
    <t>914001125R0X</t>
  </si>
  <si>
    <t>Dodávka a osazení svislé dopr.značky na fasádu navrtávkou do betonu</t>
  </si>
  <si>
    <t>91_</t>
  </si>
  <si>
    <t>IO 200_9_</t>
  </si>
  <si>
    <t>IP 12 "Vyhrazené parkoviště" se symbolem č. 225 "Osoba na invalidním vozíku"</t>
  </si>
  <si>
    <t>B 16 "Zákaz vjezdu vozidel, jejichž výška přesahuje vyznačenou mez" s výškou 2.30 m</t>
  </si>
  <si>
    <t>B 32 "Jiný zákaz" doplněný textem "CNG" a "LPG"</t>
  </si>
  <si>
    <t>122</t>
  </si>
  <si>
    <t>915701111R00</t>
  </si>
  <si>
    <t>Zřízení vodorovného značení z nátěr.hmot tl.do 3mm</t>
  </si>
  <si>
    <t>2*2,9</t>
  </si>
  <si>
    <t>2 x Vodorovné dopravní značení "Vyhrazené parkoviště pro vozidlo přepravující osobu těžce postiženou</t>
  </si>
  <si>
    <t>Strukturální vodorovné dopravní značení</t>
  </si>
  <si>
    <t>123</t>
  </si>
  <si>
    <t>915709111R00</t>
  </si>
  <si>
    <t>Příplatek za reflexní úpravu balotinovou u nátěrů</t>
  </si>
  <si>
    <t>124</t>
  </si>
  <si>
    <t>915711112RT1</t>
  </si>
  <si>
    <t>Vodorovné značení dělicích čar š.12 cm silnovrstvé</t>
  </si>
  <si>
    <t>barva bílá</t>
  </si>
  <si>
    <t>3*4,7</t>
  </si>
  <si>
    <t>3 x V 10b "Stání kolmé"; Strukturální vodorovné dopravní značení</t>
  </si>
  <si>
    <t>125</t>
  </si>
  <si>
    <t>915719111R00</t>
  </si>
  <si>
    <t>Příplatek za reflexní úpravu dělicích čar 12 cm</t>
  </si>
  <si>
    <t>126</t>
  </si>
  <si>
    <t>915721111RT1</t>
  </si>
  <si>
    <t>Vodorovné značení střík.barvou stopčar,zeber atd.</t>
  </si>
  <si>
    <t>(0,86+5*1,697+1,4849+0,4847)*0,125</t>
  </si>
  <si>
    <t>V 13 "Šikmé rovnoběžné čáry"; Strukturální vodorovné dopravní značení</t>
  </si>
  <si>
    <t>127</t>
  </si>
  <si>
    <t>915729111R00</t>
  </si>
  <si>
    <t>Příplatek za reflexní úpravu stopčar, zeber atd.</t>
  </si>
  <si>
    <t>128</t>
  </si>
  <si>
    <t>915791111R00</t>
  </si>
  <si>
    <t>Předznačení pro značení dělicí čáry,vodicí proužky</t>
  </si>
  <si>
    <t>Stříkané barvou</t>
  </si>
  <si>
    <t>129</t>
  </si>
  <si>
    <t>915791112R00</t>
  </si>
  <si>
    <t>Předznačení pro značení stopčáry, zebry, nápisů</t>
  </si>
  <si>
    <t>5,8+1,41</t>
  </si>
  <si>
    <t>130</t>
  </si>
  <si>
    <t>917862114RT5</t>
  </si>
  <si>
    <t>Osazení stojatého obrubníku betonového, s boční opěrou, do lože z betonu C 25/30</t>
  </si>
  <si>
    <t>včetně obrubníku 1000 x 100 x 250 mm</t>
  </si>
  <si>
    <t>2,4265+2,4482+12,3939+2,1617+35,8451+7,4291+2,17+8,5652</t>
  </si>
  <si>
    <t>131</t>
  </si>
  <si>
    <t>917862114RT7</t>
  </si>
  <si>
    <t>včetně obrubníku 1000 x 150 x 250 mm</t>
  </si>
  <si>
    <t>5,5728+12,3484+8,8476+10,5878+10,4651+36,1061+1,4233</t>
  </si>
  <si>
    <t>132</t>
  </si>
  <si>
    <t>917862114RT8</t>
  </si>
  <si>
    <t>včetně obrubníku 1000 x 150 x 300 mm</t>
  </si>
  <si>
    <t>3,85*9</t>
  </si>
  <si>
    <t>133</t>
  </si>
  <si>
    <t>917862114RV3</t>
  </si>
  <si>
    <t>včetně obrubníku nájezdového 1000 x 150 x 150 mm</t>
  </si>
  <si>
    <t>4,8424+4,0157+5,5136+27,7153+1,5398+1,85*3+4,5309+5+28,6125*2+3,1741</t>
  </si>
  <si>
    <t>134</t>
  </si>
  <si>
    <t>917862114RV4</t>
  </si>
  <si>
    <t>včetně obrubníku nájezdového náběhového 1000 x 150 x 150-250 mm</t>
  </si>
  <si>
    <t>8+9*0,85</t>
  </si>
  <si>
    <t>135</t>
  </si>
  <si>
    <t>918101111R01</t>
  </si>
  <si>
    <t>Lože pod obrubníky nebo obruby dlažeb z C 20/25 XF3</t>
  </si>
  <si>
    <t>328,2*0,05</t>
  </si>
  <si>
    <t>136</t>
  </si>
  <si>
    <t>919726118RAX</t>
  </si>
  <si>
    <t>Řezání spár asf. krytu, těsnění asf. zálivkou za horka 12/25 mm</t>
  </si>
  <si>
    <t>57,9559+11,4775+33,7473+6,9565+3,2642+9,5871+28,7625+5*2+2,3</t>
  </si>
  <si>
    <t>zálivka N1 dle ČSN EN 14188-1</t>
  </si>
  <si>
    <t>137</t>
  </si>
  <si>
    <t>919732211R</t>
  </si>
  <si>
    <t>Styčná spára napojení nového živičného povrchu na stávající za tepla š 15 mm hl 25 mm s prořezáním</t>
  </si>
  <si>
    <t>RTS I / 2022</t>
  </si>
  <si>
    <t>73,497+3,6697+3,883+2,9411</t>
  </si>
  <si>
    <t>Proříznutí spáry a zalití asfaltovou modifikovanou zálivkou za horka typu N1 dle ČSN EN 14188-1</t>
  </si>
  <si>
    <t>138</t>
  </si>
  <si>
    <t>919735111R00</t>
  </si>
  <si>
    <t>Řezání stávajícího živičného krytu tl. do 5 cm</t>
  </si>
  <si>
    <t>73,497+2,16+3,67+3,89</t>
  </si>
  <si>
    <t>Řezání asf. krytu podél obrub a v místě napojení + v místě překopu</t>
  </si>
  <si>
    <t>139</t>
  </si>
  <si>
    <t>919735122R00</t>
  </si>
  <si>
    <t>Řezání stávajícího betonového krytu tl. 5 - 10 cm</t>
  </si>
  <si>
    <t>9,59</t>
  </si>
  <si>
    <t>Řezání betonového krytu u napojení v místě skladu mediplynů</t>
  </si>
  <si>
    <t>140</t>
  </si>
  <si>
    <t>914993091RA1</t>
  </si>
  <si>
    <t>Demontáž parkovacích dorazů, vč. odvozu, likvidace</t>
  </si>
  <si>
    <t>Různé dokončovací konstrukce a práce inženýrských staveb</t>
  </si>
  <si>
    <t>141</t>
  </si>
  <si>
    <t>938908411R01</t>
  </si>
  <si>
    <t>Očištění povrchu krytu metením</t>
  </si>
  <si>
    <t>93_</t>
  </si>
  <si>
    <t>Očištění finálního povrchu</t>
  </si>
  <si>
    <t>Bourání konstrukcí</t>
  </si>
  <si>
    <t>142</t>
  </si>
  <si>
    <t>966006132R00</t>
  </si>
  <si>
    <t>Odstranění doprav.značek se sloupky, s bet.patkami</t>
  </si>
  <si>
    <t>96_</t>
  </si>
  <si>
    <t>včetně naložení, odvozu a likvidace</t>
  </si>
  <si>
    <t>B 29 + E13 (na jednom sloupku), IP 12 + E 8d + E 13 (na jednom sloupku), P 4, IP 11a</t>
  </si>
  <si>
    <t>Prorážení otvorů a ostatní bourací práce</t>
  </si>
  <si>
    <t>143</t>
  </si>
  <si>
    <t>979024441R00</t>
  </si>
  <si>
    <t>Očištění vybour. obrubníků všech loží a výplní</t>
  </si>
  <si>
    <t>97_</t>
  </si>
  <si>
    <t>144</t>
  </si>
  <si>
    <t>979054441R00</t>
  </si>
  <si>
    <t>Očištění vybour. dlaždic s výplní kamen. těženým</t>
  </si>
  <si>
    <t>H22</t>
  </si>
  <si>
    <t>Komunikace pozemní a letiště</t>
  </si>
  <si>
    <t>145</t>
  </si>
  <si>
    <t>998225111R00</t>
  </si>
  <si>
    <t>Přesun hmot, pozemní komunikace, kryt živičný</t>
  </si>
  <si>
    <t>H22_</t>
  </si>
  <si>
    <t>146</t>
  </si>
  <si>
    <t>998223011R00</t>
  </si>
  <si>
    <t>Přesun hmot, pozemní komunikace, kryt dlážděný</t>
  </si>
  <si>
    <t>S</t>
  </si>
  <si>
    <t>Přesuny sutí</t>
  </si>
  <si>
    <t>147</t>
  </si>
  <si>
    <t>979082213R00</t>
  </si>
  <si>
    <t>Vodorovná doprava suti po suchu do 1 km</t>
  </si>
  <si>
    <t>S_</t>
  </si>
  <si>
    <t>148,599+76,804+391,188</t>
  </si>
  <si>
    <t>148</t>
  </si>
  <si>
    <t>979082219R00</t>
  </si>
  <si>
    <t>Příplatek za dopravu suti po suchu za další 1 km</t>
  </si>
  <si>
    <t>616,591*19</t>
  </si>
  <si>
    <t>odvoz do 20 km</t>
  </si>
  <si>
    <t>149</t>
  </si>
  <si>
    <t>979093111R00</t>
  </si>
  <si>
    <t>Uložení suti na skládku bez zhutnění</t>
  </si>
  <si>
    <t>150</t>
  </si>
  <si>
    <t>979990261R00</t>
  </si>
  <si>
    <t>Poplatek za uložení asfaltové směsi obsahující dehet</t>
  </si>
  <si>
    <t>0</t>
  </si>
  <si>
    <t>v případě prokázání zkouškou</t>
  </si>
  <si>
    <t>151</t>
  </si>
  <si>
    <t>979999995R00</t>
  </si>
  <si>
    <t>Poplatek za recyklaci asfaltu, kusovost do 1600 cm2, (skup.170302)</t>
  </si>
  <si>
    <t>3,731+5,224+3,1284+136,5157</t>
  </si>
  <si>
    <t>152</t>
  </si>
  <si>
    <t>979999981R00</t>
  </si>
  <si>
    <t>Poplatek za recyklaci betonu kusovost do 1600 cm2, čistý (skup.170101)</t>
  </si>
  <si>
    <t>40,8645+4,1472+19,3615+10,442+1,9887</t>
  </si>
  <si>
    <t>žlabovky, betonová dlažba, obruby, betonové lože</t>
  </si>
  <si>
    <t>153</t>
  </si>
  <si>
    <t>979999973R00</t>
  </si>
  <si>
    <t>Poplatek za uložení, zemina a kamení, (skup.170504)</t>
  </si>
  <si>
    <t>56,7937+316,624+11,1940+4,752+1,8244</t>
  </si>
  <si>
    <t>ŠD z komunikací</t>
  </si>
  <si>
    <t>VORN - Vedlejší a ostatní rozpočtové náklady</t>
  </si>
  <si>
    <t>01VRN</t>
  </si>
  <si>
    <t>Průzkumy, geodetické a projektové práce</t>
  </si>
  <si>
    <t>154</t>
  </si>
  <si>
    <t>012002VRN</t>
  </si>
  <si>
    <t>Geodetické práce</t>
  </si>
  <si>
    <t>01VRN_</t>
  </si>
  <si>
    <t>IO 200_ _</t>
  </si>
  <si>
    <t>Zařízení staveniště</t>
  </si>
  <si>
    <t>04VRN</t>
  </si>
  <si>
    <t>Inženýrské činnosti</t>
  </si>
  <si>
    <t>04VRN_</t>
  </si>
  <si>
    <t>158</t>
  </si>
  <si>
    <t>043002VRN</t>
  </si>
  <si>
    <t>Statická zatěžovací zkouška</t>
  </si>
  <si>
    <t>zemní pláň</t>
  </si>
  <si>
    <t>spodní vrstva ŠD</t>
  </si>
  <si>
    <t>horní vrstva ŠD</t>
  </si>
  <si>
    <t>159</t>
  </si>
  <si>
    <t>043003VRN</t>
  </si>
  <si>
    <t>Rázová dynamická zkouška únosnosti pláně</t>
  </si>
  <si>
    <t>Průběžné měření zemní pláně/parapláně</t>
  </si>
  <si>
    <t>160</t>
  </si>
  <si>
    <t>Stanovení polycyklických aromatických uhlovodíků (PAU)</t>
  </si>
  <si>
    <t>07VRN</t>
  </si>
  <si>
    <t>Provozní vlivy</t>
  </si>
  <si>
    <t>161</t>
  </si>
  <si>
    <t>072002VRN</t>
  </si>
  <si>
    <t>Silniční provoz - DIO, DIR a dopravní značení</t>
  </si>
  <si>
    <t>07VRN_</t>
  </si>
  <si>
    <t>Celkem:</t>
  </si>
  <si>
    <t>Poznámka: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</si>
  <si>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</si>
  <si>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</si>
  <si>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</si>
  <si>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</si>
  <si>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</si>
  <si>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</si>
  <si>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</si>
  <si>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</si>
  <si>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</si>
  <si>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</si>
  <si>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</si>
  <si>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</si>
  <si>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</si>
  <si>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</si>
  <si>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Bez pevné podl.</t>
  </si>
  <si>
    <t>Mimostav. doprava</t>
  </si>
  <si>
    <t>PSV</t>
  </si>
  <si>
    <t>Kulturní památka</t>
  </si>
  <si>
    <t>Územní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</si>
  <si>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</si>
  <si>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</si>
  <si>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</si>
  <si>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</si>
  <si>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</si>
  <si>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</si>
  <si>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</si>
  <si>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</si>
  <si>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</si>
  <si>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</si>
  <si>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</si>
  <si>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</si>
  <si>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</si>
  <si>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</si>
  <si>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</si>
  <si>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</si>
  <si>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</si>
  <si>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</si>
  <si>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</si>
  <si>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</si>
  <si>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</si>
  <si>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</si>
  <si>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</si>
  <si>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</si>
  <si>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</si>
  <si>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</si>
  <si>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</si>
  <si>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</si>
  <si>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</si>
  <si>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</si>
  <si>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</si>
  <si>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</si>
  <si>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</si>
  <si>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</si>
  <si>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Příprava staveniště</t>
  </si>
  <si>
    <t>Finanční náklady</t>
  </si>
  <si>
    <t>Náklady na pracovníky</t>
  </si>
  <si>
    <t>Ostatní náklady</t>
  </si>
  <si>
    <t>Vlastní VORN</t>
  </si>
  <si>
    <t>Celkem VORN</t>
  </si>
  <si>
    <t>RTS II / 2024</t>
  </si>
  <si>
    <t>Konus železobetonový 425</t>
  </si>
  <si>
    <t>Položkový soupis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</si>
</sst>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800080"/>
      <name val="Arial"/>
      <family val="2"/>
      <charset val="238"/>
    </font>
    <font>
      <i/>
      <sz val="10"/>
      <color rgb="FF008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rgb="FF0000FF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70">
    <xf numFmtId="0" fontId="0" fillId="0" borderId="0" xfId="0"/>
    <xf numFmtId="4" fontId="2" fillId="2" borderId="0" xfId="0" applyNumberFormat="1" applyFont="1" applyFill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2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3" fillId="2" borderId="36" xfId="0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left" vertical="center"/>
    </xf>
    <xf numFmtId="0" fontId="3" fillId="2" borderId="37" xfId="0" applyFont="1" applyFill="1" applyBorder="1" applyAlignment="1">
      <alignment horizontal="left" vertical="center"/>
    </xf>
    <xf numFmtId="4" fontId="2" fillId="2" borderId="37" xfId="0" applyNumberFormat="1" applyFont="1" applyFill="1" applyBorder="1" applyAlignment="1">
      <alignment horizontal="right" vertical="center"/>
    </xf>
    <xf numFmtId="0" fontId="2" fillId="2" borderId="37" xfId="0" applyFont="1" applyFill="1" applyBorder="1" applyAlignment="1">
      <alignment horizontal="right" vertical="center"/>
    </xf>
    <xf numFmtId="0" fontId="2" fillId="2" borderId="38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" fillId="2" borderId="6" xfId="0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0" fillId="0" borderId="5" xfId="0" applyBorder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0" fillId="0" borderId="6" xfId="0" applyBorder="1"/>
    <xf numFmtId="0" fontId="7" fillId="0" borderId="5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3" fillId="0" borderId="39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4" fontId="3" fillId="0" borderId="40" xfId="0" applyNumberFormat="1" applyFont="1" applyBorder="1" applyAlignment="1">
      <alignment horizontal="right" vertical="center"/>
    </xf>
    <xf numFmtId="0" fontId="3" fillId="0" borderId="40" xfId="0" applyFont="1" applyBorder="1" applyAlignment="1">
      <alignment horizontal="right" vertical="center"/>
    </xf>
    <xf numFmtId="0" fontId="3" fillId="0" borderId="41" xfId="0" applyFont="1" applyBorder="1" applyAlignment="1">
      <alignment horizontal="right" vertical="center"/>
    </xf>
    <xf numFmtId="4" fontId="2" fillId="0" borderId="42" xfId="0" applyNumberFormat="1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10" fillId="2" borderId="44" xfId="0" applyFont="1" applyFill="1" applyBorder="1" applyAlignment="1">
      <alignment horizontal="center" vertical="center"/>
    </xf>
    <xf numFmtId="0" fontId="10" fillId="2" borderId="47" xfId="0" applyFont="1" applyFill="1" applyBorder="1" applyAlignment="1">
      <alignment horizontal="center" vertical="center"/>
    </xf>
    <xf numFmtId="0" fontId="12" fillId="0" borderId="48" xfId="0" applyFont="1" applyBorder="1" applyAlignment="1">
      <alignment horizontal="left" vertical="center"/>
    </xf>
    <xf numFmtId="0" fontId="13" fillId="0" borderId="49" xfId="0" applyFont="1" applyBorder="1" applyAlignment="1">
      <alignment horizontal="left" vertical="center"/>
    </xf>
    <xf numFmtId="4" fontId="13" fillId="0" borderId="49" xfId="0" applyNumberFormat="1" applyFont="1" applyBorder="1" applyAlignment="1">
      <alignment horizontal="right" vertical="center"/>
    </xf>
    <xf numFmtId="0" fontId="13" fillId="0" borderId="49" xfId="0" applyFont="1" applyBorder="1" applyAlignment="1">
      <alignment horizontal="right" vertical="center"/>
    </xf>
    <xf numFmtId="0" fontId="12" fillId="0" borderId="52" xfId="0" applyFont="1" applyBorder="1" applyAlignment="1">
      <alignment horizontal="left" vertical="center"/>
    </xf>
    <xf numFmtId="4" fontId="13" fillId="0" borderId="56" xfId="0" applyNumberFormat="1" applyFont="1" applyBorder="1" applyAlignment="1">
      <alignment horizontal="right" vertical="center"/>
    </xf>
    <xf numFmtId="0" fontId="13" fillId="0" borderId="56" xfId="0" applyFont="1" applyBorder="1" applyAlignment="1">
      <alignment horizontal="right" vertical="center"/>
    </xf>
    <xf numFmtId="4" fontId="13" fillId="0" borderId="47" xfId="0" applyNumberFormat="1" applyFont="1" applyBorder="1" applyAlignment="1">
      <alignment horizontal="right" vertical="center"/>
    </xf>
    <xf numFmtId="4" fontId="13" fillId="0" borderId="30" xfId="0" applyNumberFormat="1" applyFont="1" applyBorder="1" applyAlignment="1">
      <alignment horizontal="right" vertical="center"/>
    </xf>
    <xf numFmtId="4" fontId="12" fillId="2" borderId="46" xfId="0" applyNumberFormat="1" applyFont="1" applyFill="1" applyBorder="1" applyAlignment="1">
      <alignment horizontal="right" vertical="center"/>
    </xf>
    <xf numFmtId="4" fontId="12" fillId="2" borderId="51" xfId="0" applyNumberFormat="1" applyFont="1" applyFill="1" applyBorder="1" applyAlignment="1">
      <alignment horizontal="right" vertical="center"/>
    </xf>
    <xf numFmtId="0" fontId="8" fillId="0" borderId="37" xfId="0" applyFont="1" applyBorder="1" applyAlignment="1">
      <alignment horizontal="left" vertical="center"/>
    </xf>
    <xf numFmtId="0" fontId="2" fillId="0" borderId="19" xfId="0" applyFont="1" applyBorder="1" applyAlignment="1">
      <alignment horizontal="right" vertical="center"/>
    </xf>
    <xf numFmtId="4" fontId="3" fillId="0" borderId="49" xfId="0" applyNumberFormat="1" applyFont="1" applyBorder="1" applyAlignment="1">
      <alignment horizontal="right" vertical="center"/>
    </xf>
    <xf numFmtId="0" fontId="3" fillId="0" borderId="49" xfId="0" applyFont="1" applyBorder="1" applyAlignment="1">
      <alignment horizontal="left" vertical="center"/>
    </xf>
    <xf numFmtId="4" fontId="3" fillId="0" borderId="75" xfId="0" applyNumberFormat="1" applyFont="1" applyBorder="1" applyAlignment="1">
      <alignment horizontal="right" vertical="center"/>
    </xf>
    <xf numFmtId="0" fontId="3" fillId="0" borderId="75" xfId="0" applyFont="1" applyBorder="1" applyAlignment="1">
      <alignment horizontal="left" vertical="center"/>
    </xf>
    <xf numFmtId="0" fontId="2" fillId="0" borderId="79" xfId="0" applyFont="1" applyBorder="1" applyAlignment="1">
      <alignment horizontal="left" vertical="center"/>
    </xf>
    <xf numFmtId="0" fontId="2" fillId="0" borderId="79" xfId="0" applyFont="1" applyBorder="1" applyAlignment="1">
      <alignment horizontal="right" vertical="center"/>
    </xf>
    <xf numFmtId="4" fontId="2" fillId="0" borderId="79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3" fillId="0" borderId="64" xfId="0" applyFont="1" applyBorder="1" applyAlignment="1">
      <alignment horizontal="left" vertical="center"/>
    </xf>
    <xf numFmtId="0" fontId="13" fillId="0" borderId="62" xfId="0" applyFont="1" applyBorder="1" applyAlignment="1">
      <alignment horizontal="left" vertical="center"/>
    </xf>
    <xf numFmtId="0" fontId="13" fillId="0" borderId="63" xfId="0" applyFont="1" applyBorder="1" applyAlignment="1">
      <alignment horizontal="left" vertical="center"/>
    </xf>
    <xf numFmtId="0" fontId="13" fillId="0" borderId="67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66" xfId="0" applyFont="1" applyBorder="1" applyAlignment="1">
      <alignment horizontal="left" vertical="center"/>
    </xf>
    <xf numFmtId="0" fontId="13" fillId="0" borderId="71" xfId="0" applyFont="1" applyBorder="1" applyAlignment="1">
      <alignment horizontal="left" vertical="center"/>
    </xf>
    <xf numFmtId="0" fontId="13" fillId="0" borderId="69" xfId="0" applyFont="1" applyBorder="1" applyAlignment="1">
      <alignment horizontal="left" vertical="center"/>
    </xf>
    <xf numFmtId="0" fontId="13" fillId="0" borderId="70" xfId="0" applyFont="1" applyBorder="1" applyAlignment="1">
      <alignment horizontal="left" vertical="center"/>
    </xf>
    <xf numFmtId="0" fontId="13" fillId="0" borderId="61" xfId="0" applyFont="1" applyBorder="1" applyAlignment="1">
      <alignment horizontal="left" vertical="center"/>
    </xf>
    <xf numFmtId="0" fontId="13" fillId="0" borderId="65" xfId="0" applyFont="1" applyBorder="1" applyAlignment="1">
      <alignment horizontal="left" vertical="center"/>
    </xf>
    <xf numFmtId="0" fontId="13" fillId="0" borderId="68" xfId="0" applyFont="1" applyBorder="1" applyAlignment="1">
      <alignment horizontal="left" vertical="center"/>
    </xf>
    <xf numFmtId="0" fontId="12" fillId="0" borderId="53" xfId="0" applyFont="1" applyBorder="1" applyAlignment="1">
      <alignment horizontal="left" vertical="center"/>
    </xf>
    <xf numFmtId="0" fontId="12" fillId="0" borderId="51" xfId="0" applyFont="1" applyBorder="1" applyAlignment="1">
      <alignment horizontal="left" vertical="center"/>
    </xf>
    <xf numFmtId="0" fontId="12" fillId="2" borderId="58" xfId="0" applyFont="1" applyFill="1" applyBorder="1" applyAlignment="1">
      <alignment horizontal="left" vertical="center"/>
    </xf>
    <xf numFmtId="0" fontId="12" fillId="2" borderId="59" xfId="0" applyFont="1" applyFill="1" applyBorder="1" applyAlignment="1">
      <alignment horizontal="left" vertical="center"/>
    </xf>
    <xf numFmtId="0" fontId="12" fillId="2" borderId="53" xfId="0" applyFont="1" applyFill="1" applyBorder="1" applyAlignment="1">
      <alignment horizontal="left" vertical="center"/>
    </xf>
    <xf numFmtId="0" fontId="12" fillId="2" borderId="60" xfId="0" applyFont="1" applyFill="1" applyBorder="1" applyAlignment="1">
      <alignment horizontal="left" vertical="center"/>
    </xf>
    <xf numFmtId="0" fontId="12" fillId="2" borderId="45" xfId="0" applyFont="1" applyFill="1" applyBorder="1" applyAlignment="1">
      <alignment horizontal="left" vertical="center"/>
    </xf>
    <xf numFmtId="0" fontId="12" fillId="2" borderId="50" xfId="0" applyFont="1" applyFill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13" fillId="0" borderId="51" xfId="0" applyFont="1" applyBorder="1" applyAlignment="1">
      <alignment horizontal="left" vertical="center"/>
    </xf>
    <xf numFmtId="0" fontId="13" fillId="0" borderId="57" xfId="0" applyFont="1" applyBorder="1" applyAlignment="1">
      <alignment horizontal="left" vertical="center"/>
    </xf>
    <xf numFmtId="0" fontId="13" fillId="0" borderId="55" xfId="0" applyFont="1" applyBorder="1" applyAlignment="1">
      <alignment horizontal="left" vertical="center"/>
    </xf>
    <xf numFmtId="0" fontId="12" fillId="0" borderId="45" xfId="0" applyFont="1" applyBorder="1" applyAlignment="1">
      <alignment horizontal="left" vertical="center"/>
    </xf>
    <xf numFmtId="0" fontId="12" fillId="0" borderId="46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12" fillId="0" borderId="54" xfId="0" applyFont="1" applyBorder="1" applyAlignment="1">
      <alignment horizontal="left" vertical="center"/>
    </xf>
    <xf numFmtId="0" fontId="12" fillId="0" borderId="55" xfId="0" applyFont="1" applyBorder="1" applyAlignment="1">
      <alignment horizontal="left" vertical="center"/>
    </xf>
    <xf numFmtId="0" fontId="12" fillId="0" borderId="5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/>
    </xf>
    <xf numFmtId="0" fontId="9" fillId="0" borderId="43" xfId="0" applyFont="1" applyBorder="1" applyAlignment="1">
      <alignment horizontal="center" vertical="center"/>
    </xf>
    <xf numFmtId="0" fontId="11" fillId="0" borderId="45" xfId="0" applyFont="1" applyBorder="1" applyAlignment="1">
      <alignment horizontal="left" vertical="center"/>
    </xf>
    <xf numFmtId="0" fontId="11" fillId="0" borderId="46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" fontId="3" fillId="0" borderId="6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40" xfId="0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2" borderId="37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0" fontId="3" fillId="0" borderId="74" xfId="0" applyFont="1" applyBorder="1" applyAlignment="1">
      <alignment horizontal="left" vertical="center"/>
    </xf>
    <xf numFmtId="0" fontId="2" fillId="0" borderId="76" xfId="0" applyFont="1" applyBorder="1" applyAlignment="1">
      <alignment horizontal="left" vertical="center"/>
    </xf>
    <xf numFmtId="0" fontId="2" fillId="0" borderId="77" xfId="0" applyFont="1" applyBorder="1" applyAlignment="1">
      <alignment horizontal="left" vertical="center"/>
    </xf>
    <xf numFmtId="0" fontId="2" fillId="0" borderId="78" xfId="0" applyFont="1" applyBorder="1" applyAlignment="1">
      <alignment horizontal="left" vertical="center"/>
    </xf>
    <xf numFmtId="0" fontId="12" fillId="0" borderId="76" xfId="0" applyFont="1" applyBorder="1" applyAlignment="1">
      <alignment horizontal="left" vertical="center"/>
    </xf>
    <xf numFmtId="0" fontId="12" fillId="0" borderId="77" xfId="0" applyFont="1" applyBorder="1" applyAlignment="1">
      <alignment horizontal="left" vertical="center"/>
    </xf>
    <xf numFmtId="0" fontId="12" fillId="0" borderId="78" xfId="0" applyFont="1" applyBorder="1" applyAlignment="1">
      <alignment horizontal="left" vertical="center"/>
    </xf>
    <xf numFmtId="4" fontId="12" fillId="0" borderId="80" xfId="0" applyNumberFormat="1" applyFont="1" applyBorder="1" applyAlignment="1">
      <alignment horizontal="right" vertical="center"/>
    </xf>
    <xf numFmtId="0" fontId="12" fillId="0" borderId="77" xfId="0" applyFont="1" applyBorder="1" applyAlignment="1">
      <alignment horizontal="right" vertical="center"/>
    </xf>
    <xf numFmtId="0" fontId="12" fillId="0" borderId="78" xfId="0" applyFont="1" applyBorder="1" applyAlignment="1">
      <alignment horizontal="right" vertical="center"/>
    </xf>
    <xf numFmtId="0" fontId="12" fillId="0" borderId="8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view="pageBreakPreview" zoomScale="60" zoomScaleNormal="100" workbookViewId="0">
      <selection activeCell="I26" sqref="I2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17" t="s">
        <v>720</v>
      </c>
      <c r="B1" s="118"/>
      <c r="C1" s="118"/>
      <c r="D1" s="118"/>
      <c r="E1" s="118"/>
      <c r="F1" s="118"/>
      <c r="G1" s="118"/>
      <c r="H1" s="118"/>
      <c r="I1" s="118"/>
    </row>
    <row r="2" spans="1:9" x14ac:dyDescent="0.25">
      <c r="A2" s="119" t="s">
        <v>0</v>
      </c>
      <c r="B2" s="120"/>
      <c r="C2" s="125" t="str">
        <f>'soupis prací'!D2</f>
        <v>PE09 Parkovací dům - ON Trutnov</v>
      </c>
      <c r="D2" s="126"/>
      <c r="E2" s="116" t="s">
        <v>4</v>
      </c>
      <c r="F2" s="116" t="str">
        <f>'soupis prací'!J2</f>
        <v> </v>
      </c>
      <c r="G2" s="120"/>
      <c r="H2" s="116" t="s">
        <v>721</v>
      </c>
      <c r="I2" s="122" t="s">
        <v>50</v>
      </c>
    </row>
    <row r="3" spans="1:9" ht="15" customHeight="1" x14ac:dyDescent="0.25">
      <c r="A3" s="121"/>
      <c r="B3" s="77"/>
      <c r="C3" s="127"/>
      <c r="D3" s="127"/>
      <c r="E3" s="77"/>
      <c r="F3" s="77"/>
      <c r="G3" s="77"/>
      <c r="H3" s="77"/>
      <c r="I3" s="123"/>
    </row>
    <row r="4" spans="1:9" x14ac:dyDescent="0.25">
      <c r="A4" s="114" t="s">
        <v>6</v>
      </c>
      <c r="B4" s="77"/>
      <c r="C4" s="76" t="str">
        <f>'soupis prací'!D4</f>
        <v xml:space="preserve"> </v>
      </c>
      <c r="D4" s="77"/>
      <c r="E4" s="76" t="s">
        <v>9</v>
      </c>
      <c r="F4" s="76" t="str">
        <f>'soupis prací'!J4</f>
        <v> </v>
      </c>
      <c r="G4" s="77"/>
      <c r="H4" s="76" t="s">
        <v>721</v>
      </c>
      <c r="I4" s="123" t="s">
        <v>50</v>
      </c>
    </row>
    <row r="5" spans="1:9" ht="15" customHeight="1" x14ac:dyDescent="0.25">
      <c r="A5" s="121"/>
      <c r="B5" s="77"/>
      <c r="C5" s="77"/>
      <c r="D5" s="77"/>
      <c r="E5" s="77"/>
      <c r="F5" s="77"/>
      <c r="G5" s="77"/>
      <c r="H5" s="77"/>
      <c r="I5" s="123"/>
    </row>
    <row r="6" spans="1:9" x14ac:dyDescent="0.25">
      <c r="A6" s="114" t="s">
        <v>10</v>
      </c>
      <c r="B6" s="77"/>
      <c r="C6" s="76" t="str">
        <f>'soupis prací'!D6</f>
        <v xml:space="preserve"> </v>
      </c>
      <c r="D6" s="77"/>
      <c r="E6" s="76" t="s">
        <v>12</v>
      </c>
      <c r="F6" s="76" t="str">
        <f>'soupis prací'!J6</f>
        <v> </v>
      </c>
      <c r="G6" s="77"/>
      <c r="H6" s="76" t="s">
        <v>721</v>
      </c>
      <c r="I6" s="123" t="s">
        <v>50</v>
      </c>
    </row>
    <row r="7" spans="1:9" ht="15" customHeight="1" x14ac:dyDescent="0.25">
      <c r="A7" s="121"/>
      <c r="B7" s="77"/>
      <c r="C7" s="77"/>
      <c r="D7" s="77"/>
      <c r="E7" s="77"/>
      <c r="F7" s="77"/>
      <c r="G7" s="77"/>
      <c r="H7" s="77"/>
      <c r="I7" s="123"/>
    </row>
    <row r="8" spans="1:9" x14ac:dyDescent="0.25">
      <c r="A8" s="114" t="s">
        <v>7</v>
      </c>
      <c r="B8" s="77"/>
      <c r="C8" s="76" t="str">
        <f>'soupis prací'!H4</f>
        <v>11.11.2024</v>
      </c>
      <c r="D8" s="77"/>
      <c r="E8" s="76" t="s">
        <v>11</v>
      </c>
      <c r="F8" s="76" t="str">
        <f>'soupis prací'!H6</f>
        <v xml:space="preserve"> </v>
      </c>
      <c r="G8" s="77"/>
      <c r="H8" s="77" t="s">
        <v>722</v>
      </c>
      <c r="I8" s="124">
        <v>161</v>
      </c>
    </row>
    <row r="9" spans="1:9" x14ac:dyDescent="0.25">
      <c r="A9" s="121"/>
      <c r="B9" s="77"/>
      <c r="C9" s="77"/>
      <c r="D9" s="77"/>
      <c r="E9" s="77"/>
      <c r="F9" s="77"/>
      <c r="G9" s="77"/>
      <c r="H9" s="77"/>
      <c r="I9" s="123"/>
    </row>
    <row r="10" spans="1:9" x14ac:dyDescent="0.25">
      <c r="A10" s="114" t="s">
        <v>13</v>
      </c>
      <c r="B10" s="77"/>
      <c r="C10" s="76" t="str">
        <f>'soupis prací'!D8</f>
        <v xml:space="preserve"> </v>
      </c>
      <c r="D10" s="77"/>
      <c r="E10" s="76" t="s">
        <v>15</v>
      </c>
      <c r="F10" s="76" t="str">
        <f>'soupis prací'!J8</f>
        <v> </v>
      </c>
      <c r="G10" s="77"/>
      <c r="H10" s="77" t="s">
        <v>723</v>
      </c>
      <c r="I10" s="108" t="str">
        <f>'soupis prací'!H8</f>
        <v>11.11.2024</v>
      </c>
    </row>
    <row r="11" spans="1:9" x14ac:dyDescent="0.25">
      <c r="A11" s="115"/>
      <c r="B11" s="113"/>
      <c r="C11" s="113"/>
      <c r="D11" s="113"/>
      <c r="E11" s="113"/>
      <c r="F11" s="113"/>
      <c r="G11" s="113"/>
      <c r="H11" s="113"/>
      <c r="I11" s="109"/>
    </row>
    <row r="12" spans="1:9" ht="23.25" x14ac:dyDescent="0.25">
      <c r="A12" s="110" t="s">
        <v>724</v>
      </c>
      <c r="B12" s="110"/>
      <c r="C12" s="110"/>
      <c r="D12" s="110"/>
      <c r="E12" s="110"/>
      <c r="F12" s="110"/>
      <c r="G12" s="110"/>
      <c r="H12" s="110"/>
      <c r="I12" s="110"/>
    </row>
    <row r="13" spans="1:9" ht="26.25" customHeight="1" x14ac:dyDescent="0.25">
      <c r="A13" s="54" t="s">
        <v>725</v>
      </c>
      <c r="B13" s="111" t="s">
        <v>726</v>
      </c>
      <c r="C13" s="112"/>
      <c r="D13" s="55" t="s">
        <v>727</v>
      </c>
      <c r="E13" s="111" t="s">
        <v>728</v>
      </c>
      <c r="F13" s="112"/>
      <c r="G13" s="55" t="s">
        <v>729</v>
      </c>
      <c r="H13" s="111" t="s">
        <v>730</v>
      </c>
      <c r="I13" s="112"/>
    </row>
    <row r="14" spans="1:9" ht="15.75" x14ac:dyDescent="0.25">
      <c r="A14" s="56" t="s">
        <v>731</v>
      </c>
      <c r="B14" s="57" t="s">
        <v>732</v>
      </c>
      <c r="C14" s="58">
        <f>SUM('soupis prací'!AB12:AB311)</f>
        <v>0</v>
      </c>
      <c r="D14" s="98" t="s">
        <v>733</v>
      </c>
      <c r="E14" s="99"/>
      <c r="F14" s="58">
        <f>VORN!I15</f>
        <v>0</v>
      </c>
      <c r="G14" s="98" t="s">
        <v>696</v>
      </c>
      <c r="H14" s="99"/>
      <c r="I14" s="59">
        <f>VORN!I21</f>
        <v>0</v>
      </c>
    </row>
    <row r="15" spans="1:9" ht="15.75" x14ac:dyDescent="0.25">
      <c r="A15" s="60" t="s">
        <v>50</v>
      </c>
      <c r="B15" s="57" t="s">
        <v>33</v>
      </c>
      <c r="C15" s="58">
        <f>SUM('soupis prací'!AC12:AC311)</f>
        <v>0</v>
      </c>
      <c r="D15" s="98" t="s">
        <v>734</v>
      </c>
      <c r="E15" s="99"/>
      <c r="F15" s="58">
        <f>VORN!I16</f>
        <v>0</v>
      </c>
      <c r="G15" s="98" t="s">
        <v>735</v>
      </c>
      <c r="H15" s="99"/>
      <c r="I15" s="59">
        <f>VORN!I22</f>
        <v>0</v>
      </c>
    </row>
    <row r="16" spans="1:9" ht="15.75" x14ac:dyDescent="0.25">
      <c r="A16" s="56" t="s">
        <v>736</v>
      </c>
      <c r="B16" s="57" t="s">
        <v>732</v>
      </c>
      <c r="C16" s="58">
        <f>SUM('soupis prací'!AD12:AD311)</f>
        <v>0</v>
      </c>
      <c r="D16" s="98" t="s">
        <v>737</v>
      </c>
      <c r="E16" s="99"/>
      <c r="F16" s="58">
        <f>VORN!I17</f>
        <v>0</v>
      </c>
      <c r="G16" s="98" t="s">
        <v>738</v>
      </c>
      <c r="H16" s="99"/>
      <c r="I16" s="59">
        <f>VORN!I23</f>
        <v>0</v>
      </c>
    </row>
    <row r="17" spans="1:9" ht="15.75" x14ac:dyDescent="0.25">
      <c r="A17" s="60" t="s">
        <v>50</v>
      </c>
      <c r="B17" s="57" t="s">
        <v>33</v>
      </c>
      <c r="C17" s="58">
        <f>SUM('soupis prací'!AE12:AE311)</f>
        <v>0</v>
      </c>
      <c r="D17" s="98" t="s">
        <v>50</v>
      </c>
      <c r="E17" s="99"/>
      <c r="F17" s="59" t="s">
        <v>50</v>
      </c>
      <c r="G17" s="98" t="s">
        <v>713</v>
      </c>
      <c r="H17" s="99"/>
      <c r="I17" s="59">
        <f>VORN!I24</f>
        <v>0</v>
      </c>
    </row>
    <row r="18" spans="1:9" ht="15.75" x14ac:dyDescent="0.25">
      <c r="A18" s="56" t="s">
        <v>739</v>
      </c>
      <c r="B18" s="57" t="s">
        <v>732</v>
      </c>
      <c r="C18" s="58">
        <f>SUM('soupis prací'!AF12:AF311)</f>
        <v>0</v>
      </c>
      <c r="D18" s="98" t="s">
        <v>50</v>
      </c>
      <c r="E18" s="99"/>
      <c r="F18" s="59" t="s">
        <v>50</v>
      </c>
      <c r="G18" s="98" t="s">
        <v>740</v>
      </c>
      <c r="H18" s="99"/>
      <c r="I18" s="59">
        <f>VORN!I25</f>
        <v>0</v>
      </c>
    </row>
    <row r="19" spans="1:9" ht="15.75" x14ac:dyDescent="0.25">
      <c r="A19" s="60" t="s">
        <v>50</v>
      </c>
      <c r="B19" s="57" t="s">
        <v>33</v>
      </c>
      <c r="C19" s="58">
        <f>SUM('soupis prací'!AG12:AG311)</f>
        <v>0</v>
      </c>
      <c r="D19" s="98" t="s">
        <v>50</v>
      </c>
      <c r="E19" s="99"/>
      <c r="F19" s="59" t="s">
        <v>50</v>
      </c>
      <c r="G19" s="98" t="s">
        <v>741</v>
      </c>
      <c r="H19" s="99"/>
      <c r="I19" s="59">
        <f>VORN!I26</f>
        <v>0</v>
      </c>
    </row>
    <row r="20" spans="1:9" ht="15.75" x14ac:dyDescent="0.25">
      <c r="A20" s="90" t="s">
        <v>742</v>
      </c>
      <c r="B20" s="91"/>
      <c r="C20" s="58">
        <f>SUM('soupis prací'!AH12:AH311)</f>
        <v>0</v>
      </c>
      <c r="D20" s="98" t="s">
        <v>50</v>
      </c>
      <c r="E20" s="99"/>
      <c r="F20" s="59" t="s">
        <v>50</v>
      </c>
      <c r="G20" s="98" t="s">
        <v>50</v>
      </c>
      <c r="H20" s="99"/>
      <c r="I20" s="59" t="s">
        <v>50</v>
      </c>
    </row>
    <row r="21" spans="1:9" ht="15.75" x14ac:dyDescent="0.25">
      <c r="A21" s="105" t="s">
        <v>743</v>
      </c>
      <c r="B21" s="106"/>
      <c r="C21" s="61">
        <f>SUM('soupis prací'!Z12:Z311)</f>
        <v>0</v>
      </c>
      <c r="D21" s="100" t="s">
        <v>50</v>
      </c>
      <c r="E21" s="101"/>
      <c r="F21" s="62" t="s">
        <v>50</v>
      </c>
      <c r="G21" s="100" t="s">
        <v>50</v>
      </c>
      <c r="H21" s="101"/>
      <c r="I21" s="62" t="s">
        <v>50</v>
      </c>
    </row>
    <row r="22" spans="1:9" ht="16.5" customHeight="1" x14ac:dyDescent="0.25">
      <c r="A22" s="107" t="s">
        <v>744</v>
      </c>
      <c r="B22" s="103"/>
      <c r="C22" s="63">
        <f>ROUND(SUM(C14:C21),1)</f>
        <v>0</v>
      </c>
      <c r="D22" s="102" t="s">
        <v>745</v>
      </c>
      <c r="E22" s="103"/>
      <c r="F22" s="63">
        <f>SUM(F14:F21)</f>
        <v>0</v>
      </c>
      <c r="G22" s="102" t="s">
        <v>746</v>
      </c>
      <c r="H22" s="103"/>
      <c r="I22" s="63">
        <f>SUM(I14:I21)</f>
        <v>0</v>
      </c>
    </row>
    <row r="23" spans="1:9" ht="15.75" x14ac:dyDescent="0.25">
      <c r="D23" s="90" t="s">
        <v>747</v>
      </c>
      <c r="E23" s="91"/>
      <c r="F23" s="64">
        <v>0</v>
      </c>
      <c r="G23" s="104" t="s">
        <v>748</v>
      </c>
      <c r="H23" s="91"/>
      <c r="I23" s="58">
        <v>0</v>
      </c>
    </row>
    <row r="24" spans="1:9" ht="15.75" x14ac:dyDescent="0.25">
      <c r="G24" s="90" t="s">
        <v>749</v>
      </c>
      <c r="H24" s="91"/>
      <c r="I24" s="58">
        <f>vorn_sum</f>
        <v>0</v>
      </c>
    </row>
    <row r="25" spans="1:9" ht="15.75" x14ac:dyDescent="0.25">
      <c r="G25" s="90" t="s">
        <v>750</v>
      </c>
      <c r="H25" s="91"/>
      <c r="I25" s="58">
        <v>0</v>
      </c>
    </row>
    <row r="27" spans="1:9" ht="15.75" x14ac:dyDescent="0.25">
      <c r="A27" s="92" t="s">
        <v>751</v>
      </c>
      <c r="B27" s="93"/>
      <c r="C27" s="65">
        <f>ROUND(SUM('soupis prací'!AJ12:AJ311),1)</f>
        <v>0</v>
      </c>
    </row>
    <row r="28" spans="1:9" ht="15.75" x14ac:dyDescent="0.25">
      <c r="A28" s="94" t="s">
        <v>752</v>
      </c>
      <c r="B28" s="95"/>
      <c r="C28" s="66">
        <f>ROUND(SUM('soupis prací'!AK12:AK311),1)</f>
        <v>0</v>
      </c>
      <c r="D28" s="96" t="s">
        <v>753</v>
      </c>
      <c r="E28" s="93"/>
      <c r="F28" s="65">
        <f>ROUND(C28*(12/100),2)</f>
        <v>0</v>
      </c>
      <c r="G28" s="96" t="s">
        <v>754</v>
      </c>
      <c r="H28" s="93"/>
      <c r="I28" s="65">
        <f>ROUND(SUM(C27:C29),1)</f>
        <v>0</v>
      </c>
    </row>
    <row r="29" spans="1:9" ht="15.75" x14ac:dyDescent="0.25">
      <c r="A29" s="94" t="s">
        <v>755</v>
      </c>
      <c r="B29" s="95"/>
      <c r="C29" s="66">
        <f>ROUND(SUM('soupis prací'!AL12:AL311),1)</f>
        <v>0</v>
      </c>
      <c r="D29" s="97" t="s">
        <v>756</v>
      </c>
      <c r="E29" s="95"/>
      <c r="F29" s="66">
        <f>ROUND(C29*(21/100),2)</f>
        <v>0</v>
      </c>
      <c r="G29" s="97" t="s">
        <v>757</v>
      </c>
      <c r="H29" s="95"/>
      <c r="I29" s="66">
        <f>ROUND(SUM(F28:F29)+I28,1)</f>
        <v>0</v>
      </c>
    </row>
    <row r="31" spans="1:9" x14ac:dyDescent="0.25">
      <c r="A31" s="87" t="s">
        <v>758</v>
      </c>
      <c r="B31" s="79"/>
      <c r="C31" s="80"/>
      <c r="D31" s="78" t="s">
        <v>759</v>
      </c>
      <c r="E31" s="79"/>
      <c r="F31" s="80"/>
      <c r="G31" s="78" t="s">
        <v>760</v>
      </c>
      <c r="H31" s="79"/>
      <c r="I31" s="80"/>
    </row>
    <row r="32" spans="1:9" x14ac:dyDescent="0.25">
      <c r="A32" s="88" t="s">
        <v>50</v>
      </c>
      <c r="B32" s="82"/>
      <c r="C32" s="83"/>
      <c r="D32" s="81" t="s">
        <v>50</v>
      </c>
      <c r="E32" s="82"/>
      <c r="F32" s="83"/>
      <c r="G32" s="81" t="s">
        <v>50</v>
      </c>
      <c r="H32" s="82"/>
      <c r="I32" s="83"/>
    </row>
    <row r="33" spans="1:9" x14ac:dyDescent="0.25">
      <c r="A33" s="88" t="s">
        <v>50</v>
      </c>
      <c r="B33" s="82"/>
      <c r="C33" s="83"/>
      <c r="D33" s="81" t="s">
        <v>50</v>
      </c>
      <c r="E33" s="82"/>
      <c r="F33" s="83"/>
      <c r="G33" s="81" t="s">
        <v>50</v>
      </c>
      <c r="H33" s="82"/>
      <c r="I33" s="83"/>
    </row>
    <row r="34" spans="1:9" x14ac:dyDescent="0.25">
      <c r="A34" s="88" t="s">
        <v>50</v>
      </c>
      <c r="B34" s="82"/>
      <c r="C34" s="83"/>
      <c r="D34" s="81" t="s">
        <v>50</v>
      </c>
      <c r="E34" s="82"/>
      <c r="F34" s="83"/>
      <c r="G34" s="81" t="s">
        <v>50</v>
      </c>
      <c r="H34" s="82"/>
      <c r="I34" s="83"/>
    </row>
    <row r="35" spans="1:9" x14ac:dyDescent="0.25">
      <c r="A35" s="89" t="s">
        <v>761</v>
      </c>
      <c r="B35" s="85"/>
      <c r="C35" s="86"/>
      <c r="D35" s="84" t="s">
        <v>761</v>
      </c>
      <c r="E35" s="85"/>
      <c r="F35" s="86"/>
      <c r="G35" s="84" t="s">
        <v>761</v>
      </c>
      <c r="H35" s="85"/>
      <c r="I35" s="86"/>
    </row>
    <row r="36" spans="1:9" x14ac:dyDescent="0.25">
      <c r="A36" s="67" t="s">
        <v>719</v>
      </c>
    </row>
    <row r="37" spans="1:9" ht="12.75" customHeight="1" x14ac:dyDescent="0.25">
      <c r="A37" s="76" t="s">
        <v>50</v>
      </c>
      <c r="B37" s="77"/>
      <c r="C37" s="77"/>
      <c r="D37" s="77"/>
      <c r="E37" s="77"/>
      <c r="F37" s="77"/>
      <c r="G37" s="77"/>
      <c r="H37" s="77"/>
      <c r="I37" s="77"/>
    </row>
  </sheetData>
  <sheetProtection algorithmName="SHA-512" hashValue="e0spEQM8DvZa84kZkX7j68IsZqdtEr8jTyK+XzvO45TphGoDe2l1pMhcHFgJ+LzAj5P/sjWeXElP5OZJ4necpg==" saltValue="yFOsWc7Z/rtZ+y8oXiuCqA==" spinCount="100000" sheet="1" objects="1" scenarios="1"/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14"/>
  <sheetViews>
    <sheetView tabSelected="1" view="pageBreakPreview" zoomScale="60" zoomScaleNormal="100" workbookViewId="0">
      <pane ySplit="11" topLeftCell="A12" activePane="bottomLeft" state="frozen"/>
      <selection pane="bottomLeft" activeCell="J12" sqref="J12"/>
    </sheetView>
  </sheetViews>
  <sheetFormatPr defaultColWidth="12.140625" defaultRowHeight="15" customHeight="1" x14ac:dyDescent="0.25"/>
  <cols>
    <col min="1" max="1" width="4" customWidth="1"/>
    <col min="2" max="2" width="7.5703125" customWidth="1"/>
    <col min="3" max="3" width="17.85546875" customWidth="1"/>
    <col min="4" max="4" width="42.85546875" customWidth="1"/>
    <col min="5" max="5" width="35.7109375" customWidth="1"/>
    <col min="6" max="6" width="6.7109375" customWidth="1"/>
    <col min="7" max="7" width="12.85546875" customWidth="1"/>
    <col min="8" max="8" width="12" customWidth="1"/>
    <col min="9" max="9" width="11.140625" customWidth="1"/>
    <col min="10" max="13" width="15.7109375" customWidth="1"/>
    <col min="14" max="15" width="11.7109375" customWidth="1"/>
    <col min="16" max="16" width="13.42578125" customWidth="1"/>
    <col min="25" max="75" width="12.140625" hidden="1"/>
  </cols>
  <sheetData>
    <row r="1" spans="1:75" ht="54.75" customHeight="1" x14ac:dyDescent="0.25">
      <c r="A1" s="118" t="s">
        <v>781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5" x14ac:dyDescent="0.25">
      <c r="A2" s="119" t="s">
        <v>0</v>
      </c>
      <c r="B2" s="120"/>
      <c r="C2" s="120"/>
      <c r="D2" s="125" t="s">
        <v>1</v>
      </c>
      <c r="E2" s="126"/>
      <c r="F2" s="120" t="s">
        <v>2</v>
      </c>
      <c r="G2" s="120"/>
      <c r="H2" s="120" t="s">
        <v>3</v>
      </c>
      <c r="I2" s="116" t="s">
        <v>4</v>
      </c>
      <c r="J2" s="120" t="s">
        <v>5</v>
      </c>
      <c r="K2" s="120"/>
      <c r="L2" s="120"/>
      <c r="M2" s="120"/>
      <c r="N2" s="120"/>
      <c r="O2" s="120"/>
      <c r="P2" s="122"/>
    </row>
    <row r="3" spans="1:75" x14ac:dyDescent="0.25">
      <c r="A3" s="121"/>
      <c r="B3" s="77"/>
      <c r="C3" s="77"/>
      <c r="D3" s="127"/>
      <c r="E3" s="127"/>
      <c r="F3" s="77"/>
      <c r="G3" s="77"/>
      <c r="H3" s="77"/>
      <c r="I3" s="77"/>
      <c r="J3" s="77"/>
      <c r="K3" s="77"/>
      <c r="L3" s="77"/>
      <c r="M3" s="77"/>
      <c r="N3" s="77"/>
      <c r="O3" s="77"/>
      <c r="P3" s="123"/>
    </row>
    <row r="4" spans="1:75" x14ac:dyDescent="0.25">
      <c r="A4" s="114" t="s">
        <v>6</v>
      </c>
      <c r="B4" s="77"/>
      <c r="C4" s="77"/>
      <c r="D4" s="76" t="s">
        <v>3</v>
      </c>
      <c r="E4" s="77"/>
      <c r="F4" s="77" t="s">
        <v>7</v>
      </c>
      <c r="G4" s="77"/>
      <c r="H4" s="77" t="s">
        <v>8</v>
      </c>
      <c r="I4" s="76" t="s">
        <v>9</v>
      </c>
      <c r="J4" s="77" t="s">
        <v>5</v>
      </c>
      <c r="K4" s="77"/>
      <c r="L4" s="77"/>
      <c r="M4" s="77"/>
      <c r="N4" s="77"/>
      <c r="O4" s="77"/>
      <c r="P4" s="123"/>
    </row>
    <row r="5" spans="1:75" x14ac:dyDescent="0.25">
      <c r="A5" s="121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123"/>
    </row>
    <row r="6" spans="1:75" x14ac:dyDescent="0.25">
      <c r="A6" s="114" t="s">
        <v>10</v>
      </c>
      <c r="B6" s="77"/>
      <c r="C6" s="77"/>
      <c r="D6" s="76" t="s">
        <v>3</v>
      </c>
      <c r="E6" s="77"/>
      <c r="F6" s="77" t="s">
        <v>11</v>
      </c>
      <c r="G6" s="77"/>
      <c r="H6" s="77" t="s">
        <v>3</v>
      </c>
      <c r="I6" s="76" t="s">
        <v>12</v>
      </c>
      <c r="J6" s="77" t="s">
        <v>5</v>
      </c>
      <c r="K6" s="77"/>
      <c r="L6" s="77"/>
      <c r="M6" s="77"/>
      <c r="N6" s="77"/>
      <c r="O6" s="77"/>
      <c r="P6" s="123"/>
    </row>
    <row r="7" spans="1:75" x14ac:dyDescent="0.25">
      <c r="A7" s="121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123"/>
    </row>
    <row r="8" spans="1:75" x14ac:dyDescent="0.25">
      <c r="A8" s="114" t="s">
        <v>13</v>
      </c>
      <c r="B8" s="77"/>
      <c r="C8" s="77"/>
      <c r="D8" s="76" t="s">
        <v>3</v>
      </c>
      <c r="E8" s="77"/>
      <c r="F8" s="77" t="s">
        <v>14</v>
      </c>
      <c r="G8" s="77"/>
      <c r="H8" s="77" t="s">
        <v>8</v>
      </c>
      <c r="I8" s="76" t="s">
        <v>15</v>
      </c>
      <c r="J8" s="77" t="s">
        <v>5</v>
      </c>
      <c r="K8" s="77"/>
      <c r="L8" s="77"/>
      <c r="M8" s="77"/>
      <c r="N8" s="77"/>
      <c r="O8" s="77"/>
      <c r="P8" s="123"/>
    </row>
    <row r="9" spans="1:75" x14ac:dyDescent="0.25">
      <c r="A9" s="150"/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7"/>
    </row>
    <row r="10" spans="1:75" x14ac:dyDescent="0.25">
      <c r="A10" s="4" t="s">
        <v>16</v>
      </c>
      <c r="B10" s="5" t="s">
        <v>17</v>
      </c>
      <c r="C10" s="5" t="s">
        <v>18</v>
      </c>
      <c r="D10" s="148" t="s">
        <v>19</v>
      </c>
      <c r="E10" s="149"/>
      <c r="F10" s="5" t="s">
        <v>20</v>
      </c>
      <c r="G10" s="6" t="s">
        <v>21</v>
      </c>
      <c r="H10" s="7" t="s">
        <v>22</v>
      </c>
      <c r="I10" s="8" t="s">
        <v>23</v>
      </c>
      <c r="J10" s="139" t="s">
        <v>24</v>
      </c>
      <c r="K10" s="140"/>
      <c r="L10" s="141"/>
      <c r="M10" s="9" t="s">
        <v>24</v>
      </c>
      <c r="N10" s="142" t="s">
        <v>25</v>
      </c>
      <c r="O10" s="143"/>
      <c r="P10" s="10" t="s">
        <v>26</v>
      </c>
      <c r="BK10" s="11" t="s">
        <v>27</v>
      </c>
      <c r="BL10" s="12" t="s">
        <v>28</v>
      </c>
      <c r="BW10" s="12" t="s">
        <v>29</v>
      </c>
    </row>
    <row r="11" spans="1:75" x14ac:dyDescent="0.25">
      <c r="A11" s="13" t="s">
        <v>3</v>
      </c>
      <c r="B11" s="14" t="s">
        <v>3</v>
      </c>
      <c r="C11" s="14" t="s">
        <v>3</v>
      </c>
      <c r="D11" s="137" t="s">
        <v>30</v>
      </c>
      <c r="E11" s="138"/>
      <c r="F11" s="14" t="s">
        <v>3</v>
      </c>
      <c r="G11" s="14" t="s">
        <v>3</v>
      </c>
      <c r="H11" s="15" t="s">
        <v>31</v>
      </c>
      <c r="I11" s="16" t="s">
        <v>3</v>
      </c>
      <c r="J11" s="17" t="s">
        <v>32</v>
      </c>
      <c r="K11" s="18" t="s">
        <v>33</v>
      </c>
      <c r="L11" s="19" t="s">
        <v>34</v>
      </c>
      <c r="M11" s="20" t="s">
        <v>35</v>
      </c>
      <c r="N11" s="21" t="s">
        <v>36</v>
      </c>
      <c r="O11" s="22" t="s">
        <v>34</v>
      </c>
      <c r="P11" s="23" t="s">
        <v>37</v>
      </c>
      <c r="Z11" s="11" t="s">
        <v>38</v>
      </c>
      <c r="AA11" s="11" t="s">
        <v>39</v>
      </c>
      <c r="AB11" s="11" t="s">
        <v>40</v>
      </c>
      <c r="AC11" s="11" t="s">
        <v>41</v>
      </c>
      <c r="AD11" s="11" t="s">
        <v>42</v>
      </c>
      <c r="AE11" s="11" t="s">
        <v>43</v>
      </c>
      <c r="AF11" s="11" t="s">
        <v>44</v>
      </c>
      <c r="AG11" s="11" t="s">
        <v>45</v>
      </c>
      <c r="AH11" s="11" t="s">
        <v>46</v>
      </c>
      <c r="BH11" s="11" t="s">
        <v>47</v>
      </c>
      <c r="BI11" s="11" t="s">
        <v>48</v>
      </c>
      <c r="BJ11" s="11" t="s">
        <v>49</v>
      </c>
    </row>
    <row r="12" spans="1:75" x14ac:dyDescent="0.25">
      <c r="A12" s="24" t="s">
        <v>50</v>
      </c>
      <c r="B12" s="25" t="s">
        <v>51</v>
      </c>
      <c r="C12" s="25" t="s">
        <v>50</v>
      </c>
      <c r="D12" s="144" t="s">
        <v>52</v>
      </c>
      <c r="E12" s="145"/>
      <c r="F12" s="26" t="s">
        <v>3</v>
      </c>
      <c r="G12" s="26" t="s">
        <v>3</v>
      </c>
      <c r="H12" s="26" t="s">
        <v>3</v>
      </c>
      <c r="I12" s="26" t="s">
        <v>3</v>
      </c>
      <c r="J12" s="27">
        <f>J13+J41+J49+J56+J60+J69+J75+J78+J83+J109+J124+J127+J207+J224+J271+J274+J278+J282+J285+J300+J302+J310</f>
        <v>0</v>
      </c>
      <c r="K12" s="27">
        <f>K13+K41+K49+K56+K60+K69+K75+K78+K83+K109+K124+K127+K207+K224+K271+K274+K278+K282+K285+K300+K302+K310</f>
        <v>0</v>
      </c>
      <c r="L12" s="27">
        <f>L13+L41+L49+L56+L60+L69+L75+L78+L83+L109+L124+L127+L207+L224+L271+L274+L278+L282+L285+L300+L302+L310</f>
        <v>0</v>
      </c>
      <c r="M12" s="27">
        <f>M13+M41+M49+M56+M60+M69+M75+M78+M83+M109+M124+M127+M207+M224+M271+M274+M278+M282+M285+M300+M302+M310</f>
        <v>0</v>
      </c>
      <c r="N12" s="28" t="s">
        <v>50</v>
      </c>
      <c r="O12" s="27">
        <f>O13+O41+O49+O56+O60+O69+O75+O78+O83+O109+O124+O127+O207+O224+O271+O274+O278+O282+O285+O300+O302+O310</f>
        <v>2120.7077861900002</v>
      </c>
      <c r="P12" s="29" t="s">
        <v>50</v>
      </c>
    </row>
    <row r="13" spans="1:75" x14ac:dyDescent="0.25">
      <c r="A13" s="30" t="s">
        <v>50</v>
      </c>
      <c r="B13" s="31" t="s">
        <v>51</v>
      </c>
      <c r="C13" s="31" t="s">
        <v>53</v>
      </c>
      <c r="D13" s="130" t="s">
        <v>54</v>
      </c>
      <c r="E13" s="131"/>
      <c r="F13" s="32" t="s">
        <v>3</v>
      </c>
      <c r="G13" s="32" t="s">
        <v>3</v>
      </c>
      <c r="H13" s="32" t="s">
        <v>3</v>
      </c>
      <c r="I13" s="32" t="s">
        <v>3</v>
      </c>
      <c r="J13" s="1">
        <f>SUM(J14:J39)</f>
        <v>0</v>
      </c>
      <c r="K13" s="1">
        <f>SUM(K14:K39)</f>
        <v>0</v>
      </c>
      <c r="L13" s="1">
        <f>SUM(L14:L39)</f>
        <v>0</v>
      </c>
      <c r="M13" s="1">
        <f>SUM(M14:M39)</f>
        <v>0</v>
      </c>
      <c r="N13" s="11" t="s">
        <v>50</v>
      </c>
      <c r="O13" s="1">
        <f>SUM(O14:O39)</f>
        <v>605.88781399999993</v>
      </c>
      <c r="P13" s="33" t="s">
        <v>50</v>
      </c>
      <c r="AI13" s="11" t="s">
        <v>51</v>
      </c>
      <c r="AS13" s="1">
        <f>SUM(AJ14:AJ39)</f>
        <v>0</v>
      </c>
      <c r="AT13" s="1">
        <f>SUM(AK14:AK39)</f>
        <v>0</v>
      </c>
      <c r="AU13" s="1">
        <f>SUM(AL14:AL39)</f>
        <v>0</v>
      </c>
    </row>
    <row r="14" spans="1:75" ht="13.5" customHeight="1" x14ac:dyDescent="0.25">
      <c r="A14" s="2" t="s">
        <v>55</v>
      </c>
      <c r="B14" s="3" t="s">
        <v>51</v>
      </c>
      <c r="C14" s="3" t="s">
        <v>56</v>
      </c>
      <c r="D14" s="76" t="s">
        <v>57</v>
      </c>
      <c r="E14" s="77"/>
      <c r="F14" s="3" t="s">
        <v>58</v>
      </c>
      <c r="G14" s="34">
        <v>4.375</v>
      </c>
      <c r="H14" s="34"/>
      <c r="I14" s="35" t="s">
        <v>59</v>
      </c>
      <c r="J14" s="34">
        <f>G14*AO14</f>
        <v>0</v>
      </c>
      <c r="K14" s="34">
        <f>G14*AP14</f>
        <v>0</v>
      </c>
      <c r="L14" s="34">
        <f>G14*H14</f>
        <v>0</v>
      </c>
      <c r="M14" s="34">
        <f>L14*(1+BW14/100)</f>
        <v>0</v>
      </c>
      <c r="N14" s="34">
        <v>0.41699999999999998</v>
      </c>
      <c r="O14" s="34">
        <f>G14*N14</f>
        <v>1.8243749999999999</v>
      </c>
      <c r="P14" s="36" t="s">
        <v>779</v>
      </c>
      <c r="Z14" s="34">
        <f>IF(AQ14="5",BJ14,0)</f>
        <v>0</v>
      </c>
      <c r="AB14" s="34">
        <f>IF(AQ14="1",BH14,0)</f>
        <v>0</v>
      </c>
      <c r="AC14" s="34">
        <f>IF(AQ14="1",BI14,0)</f>
        <v>0</v>
      </c>
      <c r="AD14" s="34">
        <f>IF(AQ14="7",BH14,0)</f>
        <v>0</v>
      </c>
      <c r="AE14" s="34">
        <f>IF(AQ14="7",BI14,0)</f>
        <v>0</v>
      </c>
      <c r="AF14" s="34">
        <f>IF(AQ14="2",BH14,0)</f>
        <v>0</v>
      </c>
      <c r="AG14" s="34">
        <f>IF(AQ14="2",BI14,0)</f>
        <v>0</v>
      </c>
      <c r="AH14" s="34">
        <f>IF(AQ14="0",BJ14,0)</f>
        <v>0</v>
      </c>
      <c r="AI14" s="11" t="s">
        <v>51</v>
      </c>
      <c r="AJ14" s="34">
        <f>IF(AN14=0,L14,0)</f>
        <v>0</v>
      </c>
      <c r="AK14" s="34">
        <f>IF(AN14=12,L14,0)</f>
        <v>0</v>
      </c>
      <c r="AL14" s="34">
        <f>IF(AN14=21,L14,0)</f>
        <v>0</v>
      </c>
      <c r="AN14" s="34">
        <v>21</v>
      </c>
      <c r="AO14" s="34">
        <f>H14*0</f>
        <v>0</v>
      </c>
      <c r="AP14" s="34">
        <f>H14*(1-0)</f>
        <v>0</v>
      </c>
      <c r="AQ14" s="35" t="s">
        <v>55</v>
      </c>
      <c r="AV14" s="34">
        <f>AW14+AX14</f>
        <v>0</v>
      </c>
      <c r="AW14" s="34">
        <f>G14*AO14</f>
        <v>0</v>
      </c>
      <c r="AX14" s="34">
        <f>G14*AP14</f>
        <v>0</v>
      </c>
      <c r="AY14" s="35" t="s">
        <v>60</v>
      </c>
      <c r="AZ14" s="35" t="s">
        <v>61</v>
      </c>
      <c r="BA14" s="11" t="s">
        <v>62</v>
      </c>
      <c r="BC14" s="34">
        <f>AW14+AX14</f>
        <v>0</v>
      </c>
      <c r="BD14" s="34">
        <f>H14/(100-BE14)*100</f>
        <v>0</v>
      </c>
      <c r="BE14" s="34">
        <v>0</v>
      </c>
      <c r="BF14" s="34">
        <f>O14</f>
        <v>1.8243749999999999</v>
      </c>
      <c r="BH14" s="34">
        <f>G14*AO14</f>
        <v>0</v>
      </c>
      <c r="BI14" s="34">
        <f>G14*AP14</f>
        <v>0</v>
      </c>
      <c r="BJ14" s="34">
        <f>G14*H14</f>
        <v>0</v>
      </c>
      <c r="BK14" s="34"/>
      <c r="BL14" s="34">
        <v>11</v>
      </c>
      <c r="BW14" s="34" t="str">
        <f>I14</f>
        <v>21</v>
      </c>
    </row>
    <row r="15" spans="1:75" x14ac:dyDescent="0.25">
      <c r="A15" s="37"/>
      <c r="D15" s="38" t="s">
        <v>63</v>
      </c>
      <c r="E15" s="39" t="s">
        <v>64</v>
      </c>
      <c r="G15" s="40">
        <v>4.375</v>
      </c>
      <c r="P15" s="41"/>
    </row>
    <row r="16" spans="1:75" ht="13.5" customHeight="1" x14ac:dyDescent="0.25">
      <c r="A16" s="2" t="s">
        <v>65</v>
      </c>
      <c r="B16" s="3" t="s">
        <v>51</v>
      </c>
      <c r="C16" s="3" t="s">
        <v>66</v>
      </c>
      <c r="D16" s="76" t="s">
        <v>67</v>
      </c>
      <c r="E16" s="77"/>
      <c r="F16" s="3" t="s">
        <v>58</v>
      </c>
      <c r="G16" s="34">
        <v>86.051000000000002</v>
      </c>
      <c r="H16" s="34"/>
      <c r="I16" s="35" t="s">
        <v>59</v>
      </c>
      <c r="J16" s="34">
        <f>G16*AO16</f>
        <v>0</v>
      </c>
      <c r="K16" s="34">
        <f>G16*AP16</f>
        <v>0</v>
      </c>
      <c r="L16" s="34">
        <f>G16*H16</f>
        <v>0</v>
      </c>
      <c r="M16" s="34">
        <f>L16*(1+BW16/100)</f>
        <v>0</v>
      </c>
      <c r="N16" s="34">
        <v>0.22500000000000001</v>
      </c>
      <c r="O16" s="34">
        <f>G16*N16</f>
        <v>19.361475000000002</v>
      </c>
      <c r="P16" s="36" t="s">
        <v>779</v>
      </c>
      <c r="Z16" s="34">
        <f>IF(AQ16="5",BJ16,0)</f>
        <v>0</v>
      </c>
      <c r="AB16" s="34">
        <f>IF(AQ16="1",BH16,0)</f>
        <v>0</v>
      </c>
      <c r="AC16" s="34">
        <f>IF(AQ16="1",BI16,0)</f>
        <v>0</v>
      </c>
      <c r="AD16" s="34">
        <f>IF(AQ16="7",BH16,0)</f>
        <v>0</v>
      </c>
      <c r="AE16" s="34">
        <f>IF(AQ16="7",BI16,0)</f>
        <v>0</v>
      </c>
      <c r="AF16" s="34">
        <f>IF(AQ16="2",BH16,0)</f>
        <v>0</v>
      </c>
      <c r="AG16" s="34">
        <f>IF(AQ16="2",BI16,0)</f>
        <v>0</v>
      </c>
      <c r="AH16" s="34">
        <f>IF(AQ16="0",BJ16,0)</f>
        <v>0</v>
      </c>
      <c r="AI16" s="11" t="s">
        <v>51</v>
      </c>
      <c r="AJ16" s="34">
        <f>IF(AN16=0,L16,0)</f>
        <v>0</v>
      </c>
      <c r="AK16" s="34">
        <f>IF(AN16=12,L16,0)</f>
        <v>0</v>
      </c>
      <c r="AL16" s="34">
        <f>IF(AN16=21,L16,0)</f>
        <v>0</v>
      </c>
      <c r="AN16" s="34">
        <v>21</v>
      </c>
      <c r="AO16" s="34">
        <f>H16*0</f>
        <v>0</v>
      </c>
      <c r="AP16" s="34">
        <f>H16*(1-0)</f>
        <v>0</v>
      </c>
      <c r="AQ16" s="35" t="s">
        <v>55</v>
      </c>
      <c r="AV16" s="34">
        <f>AW16+AX16</f>
        <v>0</v>
      </c>
      <c r="AW16" s="34">
        <f>G16*AO16</f>
        <v>0</v>
      </c>
      <c r="AX16" s="34">
        <f>G16*AP16</f>
        <v>0</v>
      </c>
      <c r="AY16" s="35" t="s">
        <v>60</v>
      </c>
      <c r="AZ16" s="35" t="s">
        <v>61</v>
      </c>
      <c r="BA16" s="11" t="s">
        <v>62</v>
      </c>
      <c r="BC16" s="34">
        <f>AW16+AX16</f>
        <v>0</v>
      </c>
      <c r="BD16" s="34">
        <f>H16/(100-BE16)*100</f>
        <v>0</v>
      </c>
      <c r="BE16" s="34">
        <v>0</v>
      </c>
      <c r="BF16" s="34">
        <f>O16</f>
        <v>19.361475000000002</v>
      </c>
      <c r="BH16" s="34">
        <f>G16*AO16</f>
        <v>0</v>
      </c>
      <c r="BI16" s="34">
        <f>G16*AP16</f>
        <v>0</v>
      </c>
      <c r="BJ16" s="34">
        <f>G16*H16</f>
        <v>0</v>
      </c>
      <c r="BK16" s="34"/>
      <c r="BL16" s="34">
        <v>11</v>
      </c>
      <c r="BW16" s="34" t="str">
        <f>I16</f>
        <v>21</v>
      </c>
    </row>
    <row r="17" spans="1:75" x14ac:dyDescent="0.25">
      <c r="A17" s="37"/>
      <c r="D17" s="38" t="s">
        <v>68</v>
      </c>
      <c r="E17" s="39" t="s">
        <v>69</v>
      </c>
      <c r="G17" s="40">
        <v>86.051000000000002</v>
      </c>
      <c r="P17" s="41"/>
    </row>
    <row r="18" spans="1:75" ht="13.5" customHeight="1" x14ac:dyDescent="0.25">
      <c r="A18" s="2" t="s">
        <v>70</v>
      </c>
      <c r="B18" s="3" t="s">
        <v>51</v>
      </c>
      <c r="C18" s="3" t="s">
        <v>71</v>
      </c>
      <c r="D18" s="76" t="s">
        <v>72</v>
      </c>
      <c r="E18" s="77"/>
      <c r="F18" s="3" t="s">
        <v>58</v>
      </c>
      <c r="G18" s="34">
        <v>25.440999999999999</v>
      </c>
      <c r="H18" s="34"/>
      <c r="I18" s="35" t="s">
        <v>59</v>
      </c>
      <c r="J18" s="34">
        <f>G18*AO18</f>
        <v>0</v>
      </c>
      <c r="K18" s="34">
        <f>G18*AP18</f>
        <v>0</v>
      </c>
      <c r="L18" s="34">
        <f>G18*H18</f>
        <v>0</v>
      </c>
      <c r="M18" s="34">
        <f>L18*(1+BW18/100)</f>
        <v>0</v>
      </c>
      <c r="N18" s="34">
        <v>0.44</v>
      </c>
      <c r="O18" s="34">
        <f>G18*N18</f>
        <v>11.194039999999999</v>
      </c>
      <c r="P18" s="36" t="s">
        <v>779</v>
      </c>
      <c r="Z18" s="34">
        <f>IF(AQ18="5",BJ18,0)</f>
        <v>0</v>
      </c>
      <c r="AB18" s="34">
        <f>IF(AQ18="1",BH18,0)</f>
        <v>0</v>
      </c>
      <c r="AC18" s="34">
        <f>IF(AQ18="1",BI18,0)</f>
        <v>0</v>
      </c>
      <c r="AD18" s="34">
        <f>IF(AQ18="7",BH18,0)</f>
        <v>0</v>
      </c>
      <c r="AE18" s="34">
        <f>IF(AQ18="7",BI18,0)</f>
        <v>0</v>
      </c>
      <c r="AF18" s="34">
        <f>IF(AQ18="2",BH18,0)</f>
        <v>0</v>
      </c>
      <c r="AG18" s="34">
        <f>IF(AQ18="2",BI18,0)</f>
        <v>0</v>
      </c>
      <c r="AH18" s="34">
        <f>IF(AQ18="0",BJ18,0)</f>
        <v>0</v>
      </c>
      <c r="AI18" s="11" t="s">
        <v>51</v>
      </c>
      <c r="AJ18" s="34">
        <f>IF(AN18=0,L18,0)</f>
        <v>0</v>
      </c>
      <c r="AK18" s="34">
        <f>IF(AN18=12,L18,0)</f>
        <v>0</v>
      </c>
      <c r="AL18" s="34">
        <f>IF(AN18=21,L18,0)</f>
        <v>0</v>
      </c>
      <c r="AN18" s="34">
        <v>21</v>
      </c>
      <c r="AO18" s="34">
        <f>H18*0</f>
        <v>0</v>
      </c>
      <c r="AP18" s="34">
        <f>H18*(1-0)</f>
        <v>0</v>
      </c>
      <c r="AQ18" s="35" t="s">
        <v>55</v>
      </c>
      <c r="AV18" s="34">
        <f>AW18+AX18</f>
        <v>0</v>
      </c>
      <c r="AW18" s="34">
        <f>G18*AO18</f>
        <v>0</v>
      </c>
      <c r="AX18" s="34">
        <f>G18*AP18</f>
        <v>0</v>
      </c>
      <c r="AY18" s="35" t="s">
        <v>60</v>
      </c>
      <c r="AZ18" s="35" t="s">
        <v>61</v>
      </c>
      <c r="BA18" s="11" t="s">
        <v>62</v>
      </c>
      <c r="BC18" s="34">
        <f>AW18+AX18</f>
        <v>0</v>
      </c>
      <c r="BD18" s="34">
        <f>H18/(100-BE18)*100</f>
        <v>0</v>
      </c>
      <c r="BE18" s="34">
        <v>0</v>
      </c>
      <c r="BF18" s="34">
        <f>O18</f>
        <v>11.194039999999999</v>
      </c>
      <c r="BH18" s="34">
        <f>G18*AO18</f>
        <v>0</v>
      </c>
      <c r="BI18" s="34">
        <f>G18*AP18</f>
        <v>0</v>
      </c>
      <c r="BJ18" s="34">
        <f>G18*H18</f>
        <v>0</v>
      </c>
      <c r="BK18" s="34"/>
      <c r="BL18" s="34">
        <v>11</v>
      </c>
      <c r="BW18" s="34" t="str">
        <f>I18</f>
        <v>21</v>
      </c>
    </row>
    <row r="19" spans="1:75" x14ac:dyDescent="0.25">
      <c r="A19" s="37"/>
      <c r="D19" s="38" t="s">
        <v>73</v>
      </c>
      <c r="E19" s="39" t="s">
        <v>74</v>
      </c>
      <c r="G19" s="40">
        <v>25.440999999999999</v>
      </c>
      <c r="P19" s="41"/>
    </row>
    <row r="20" spans="1:75" ht="13.5" customHeight="1" x14ac:dyDescent="0.25">
      <c r="A20" s="2" t="s">
        <v>75</v>
      </c>
      <c r="B20" s="3" t="s">
        <v>51</v>
      </c>
      <c r="C20" s="3" t="s">
        <v>76</v>
      </c>
      <c r="D20" s="76" t="s">
        <v>77</v>
      </c>
      <c r="E20" s="77"/>
      <c r="F20" s="3" t="s">
        <v>58</v>
      </c>
      <c r="G20" s="34">
        <v>7.2</v>
      </c>
      <c r="H20" s="34"/>
      <c r="I20" s="35" t="s">
        <v>59</v>
      </c>
      <c r="J20" s="34">
        <f>G20*AO20</f>
        <v>0</v>
      </c>
      <c r="K20" s="34">
        <f>G20*AP20</f>
        <v>0</v>
      </c>
      <c r="L20" s="34">
        <f>G20*H20</f>
        <v>0</v>
      </c>
      <c r="M20" s="34">
        <f>L20*(1+BW20/100)</f>
        <v>0</v>
      </c>
      <c r="N20" s="34">
        <v>0.66</v>
      </c>
      <c r="O20" s="34">
        <f>G20*N20</f>
        <v>4.7520000000000007</v>
      </c>
      <c r="P20" s="36" t="s">
        <v>779</v>
      </c>
      <c r="Z20" s="34">
        <f>IF(AQ20="5",BJ20,0)</f>
        <v>0</v>
      </c>
      <c r="AB20" s="34">
        <f>IF(AQ20="1",BH20,0)</f>
        <v>0</v>
      </c>
      <c r="AC20" s="34">
        <f>IF(AQ20="1",BI20,0)</f>
        <v>0</v>
      </c>
      <c r="AD20" s="34">
        <f>IF(AQ20="7",BH20,0)</f>
        <v>0</v>
      </c>
      <c r="AE20" s="34">
        <f>IF(AQ20="7",BI20,0)</f>
        <v>0</v>
      </c>
      <c r="AF20" s="34">
        <f>IF(AQ20="2",BH20,0)</f>
        <v>0</v>
      </c>
      <c r="AG20" s="34">
        <f>IF(AQ20="2",BI20,0)</f>
        <v>0</v>
      </c>
      <c r="AH20" s="34">
        <f>IF(AQ20="0",BJ20,0)</f>
        <v>0</v>
      </c>
      <c r="AI20" s="11" t="s">
        <v>51</v>
      </c>
      <c r="AJ20" s="34">
        <f>IF(AN20=0,L20,0)</f>
        <v>0</v>
      </c>
      <c r="AK20" s="34">
        <f>IF(AN20=12,L20,0)</f>
        <v>0</v>
      </c>
      <c r="AL20" s="34">
        <f>IF(AN20=21,L20,0)</f>
        <v>0</v>
      </c>
      <c r="AN20" s="34">
        <v>21</v>
      </c>
      <c r="AO20" s="34">
        <f>H20*0</f>
        <v>0</v>
      </c>
      <c r="AP20" s="34">
        <f>H20*(1-0)</f>
        <v>0</v>
      </c>
      <c r="AQ20" s="35" t="s">
        <v>55</v>
      </c>
      <c r="AV20" s="34">
        <f>AW20+AX20</f>
        <v>0</v>
      </c>
      <c r="AW20" s="34">
        <f>G20*AO20</f>
        <v>0</v>
      </c>
      <c r="AX20" s="34">
        <f>G20*AP20</f>
        <v>0</v>
      </c>
      <c r="AY20" s="35" t="s">
        <v>60</v>
      </c>
      <c r="AZ20" s="35" t="s">
        <v>61</v>
      </c>
      <c r="BA20" s="11" t="s">
        <v>62</v>
      </c>
      <c r="BC20" s="34">
        <f>AW20+AX20</f>
        <v>0</v>
      </c>
      <c r="BD20" s="34">
        <f>H20/(100-BE20)*100</f>
        <v>0</v>
      </c>
      <c r="BE20" s="34">
        <v>0</v>
      </c>
      <c r="BF20" s="34">
        <f>O20</f>
        <v>4.7520000000000007</v>
      </c>
      <c r="BH20" s="34">
        <f>G20*AO20</f>
        <v>0</v>
      </c>
      <c r="BI20" s="34">
        <f>G20*AP20</f>
        <v>0</v>
      </c>
      <c r="BJ20" s="34">
        <f>G20*H20</f>
        <v>0</v>
      </c>
      <c r="BK20" s="34"/>
      <c r="BL20" s="34">
        <v>11</v>
      </c>
      <c r="BW20" s="34" t="str">
        <f>I20</f>
        <v>21</v>
      </c>
    </row>
    <row r="21" spans="1:75" x14ac:dyDescent="0.25">
      <c r="A21" s="37"/>
      <c r="D21" s="38" t="s">
        <v>78</v>
      </c>
      <c r="E21" s="39" t="s">
        <v>79</v>
      </c>
      <c r="G21" s="40">
        <v>7.2</v>
      </c>
      <c r="P21" s="41"/>
    </row>
    <row r="22" spans="1:75" ht="13.5" customHeight="1" x14ac:dyDescent="0.25">
      <c r="A22" s="2" t="s">
        <v>80</v>
      </c>
      <c r="B22" s="3" t="s">
        <v>51</v>
      </c>
      <c r="C22" s="3" t="s">
        <v>81</v>
      </c>
      <c r="D22" s="76" t="s">
        <v>82</v>
      </c>
      <c r="E22" s="77"/>
      <c r="F22" s="3" t="s">
        <v>58</v>
      </c>
      <c r="G22" s="34">
        <v>479.33699999999999</v>
      </c>
      <c r="H22" s="34"/>
      <c r="I22" s="35" t="s">
        <v>59</v>
      </c>
      <c r="J22" s="34">
        <f>G22*AO22</f>
        <v>0</v>
      </c>
      <c r="K22" s="34">
        <f>G22*AP22</f>
        <v>0</v>
      </c>
      <c r="L22" s="34">
        <f>G22*H22</f>
        <v>0</v>
      </c>
      <c r="M22" s="34">
        <f>L22*(1+BW22/100)</f>
        <v>0</v>
      </c>
      <c r="N22" s="34">
        <v>0.66</v>
      </c>
      <c r="O22" s="34">
        <f>G22*N22</f>
        <v>316.36241999999999</v>
      </c>
      <c r="P22" s="36" t="s">
        <v>779</v>
      </c>
      <c r="Z22" s="34">
        <f>IF(AQ22="5",BJ22,0)</f>
        <v>0</v>
      </c>
      <c r="AB22" s="34">
        <f>IF(AQ22="1",BH22,0)</f>
        <v>0</v>
      </c>
      <c r="AC22" s="34">
        <f>IF(AQ22="1",BI22,0)</f>
        <v>0</v>
      </c>
      <c r="AD22" s="34">
        <f>IF(AQ22="7",BH22,0)</f>
        <v>0</v>
      </c>
      <c r="AE22" s="34">
        <f>IF(AQ22="7",BI22,0)</f>
        <v>0</v>
      </c>
      <c r="AF22" s="34">
        <f>IF(AQ22="2",BH22,0)</f>
        <v>0</v>
      </c>
      <c r="AG22" s="34">
        <f>IF(AQ22="2",BI22,0)</f>
        <v>0</v>
      </c>
      <c r="AH22" s="34">
        <f>IF(AQ22="0",BJ22,0)</f>
        <v>0</v>
      </c>
      <c r="AI22" s="11" t="s">
        <v>51</v>
      </c>
      <c r="AJ22" s="34">
        <f>IF(AN22=0,L22,0)</f>
        <v>0</v>
      </c>
      <c r="AK22" s="34">
        <f>IF(AN22=12,L22,0)</f>
        <v>0</v>
      </c>
      <c r="AL22" s="34">
        <f>IF(AN22=21,L22,0)</f>
        <v>0</v>
      </c>
      <c r="AN22" s="34">
        <v>21</v>
      </c>
      <c r="AO22" s="34">
        <f>H22*0</f>
        <v>0</v>
      </c>
      <c r="AP22" s="34">
        <f>H22*(1-0)</f>
        <v>0</v>
      </c>
      <c r="AQ22" s="35" t="s">
        <v>55</v>
      </c>
      <c r="AV22" s="34">
        <f>AW22+AX22</f>
        <v>0</v>
      </c>
      <c r="AW22" s="34">
        <f>G22*AO22</f>
        <v>0</v>
      </c>
      <c r="AX22" s="34">
        <f>G22*AP22</f>
        <v>0</v>
      </c>
      <c r="AY22" s="35" t="s">
        <v>60</v>
      </c>
      <c r="AZ22" s="35" t="s">
        <v>61</v>
      </c>
      <c r="BA22" s="11" t="s">
        <v>62</v>
      </c>
      <c r="BC22" s="34">
        <f>AW22+AX22</f>
        <v>0</v>
      </c>
      <c r="BD22" s="34">
        <f>H22/(100-BE22)*100</f>
        <v>0</v>
      </c>
      <c r="BE22" s="34">
        <v>0</v>
      </c>
      <c r="BF22" s="34">
        <f>O22</f>
        <v>316.36241999999999</v>
      </c>
      <c r="BH22" s="34">
        <f>G22*AO22</f>
        <v>0</v>
      </c>
      <c r="BI22" s="34">
        <f>G22*AP22</f>
        <v>0</v>
      </c>
      <c r="BJ22" s="34">
        <f>G22*H22</f>
        <v>0</v>
      </c>
      <c r="BK22" s="34"/>
      <c r="BL22" s="34">
        <v>11</v>
      </c>
      <c r="BW22" s="34" t="str">
        <f>I22</f>
        <v>21</v>
      </c>
    </row>
    <row r="23" spans="1:75" x14ac:dyDescent="0.25">
      <c r="A23" s="37"/>
      <c r="D23" s="38" t="s">
        <v>83</v>
      </c>
      <c r="E23" s="39" t="s">
        <v>84</v>
      </c>
      <c r="G23" s="40">
        <v>413.68400000000003</v>
      </c>
      <c r="P23" s="41"/>
    </row>
    <row r="24" spans="1:75" x14ac:dyDescent="0.25">
      <c r="A24" s="37"/>
      <c r="D24" s="38" t="s">
        <v>85</v>
      </c>
      <c r="E24" s="39" t="s">
        <v>86</v>
      </c>
      <c r="G24" s="40">
        <v>65.653000000000006</v>
      </c>
      <c r="P24" s="41"/>
    </row>
    <row r="25" spans="1:75" ht="13.5" customHeight="1" x14ac:dyDescent="0.25">
      <c r="A25" s="2" t="s">
        <v>87</v>
      </c>
      <c r="B25" s="3" t="s">
        <v>51</v>
      </c>
      <c r="C25" s="3" t="s">
        <v>81</v>
      </c>
      <c r="D25" s="76" t="s">
        <v>82</v>
      </c>
      <c r="E25" s="77"/>
      <c r="F25" s="3" t="s">
        <v>58</v>
      </c>
      <c r="G25" s="34">
        <v>86.051000000000002</v>
      </c>
      <c r="H25" s="34"/>
      <c r="I25" s="35" t="s">
        <v>59</v>
      </c>
      <c r="J25" s="34">
        <f>G25*AO25</f>
        <v>0</v>
      </c>
      <c r="K25" s="34">
        <f>G25*AP25</f>
        <v>0</v>
      </c>
      <c r="L25" s="34">
        <f>G25*H25</f>
        <v>0</v>
      </c>
      <c r="M25" s="34">
        <f>L25*(1+BW25/100)</f>
        <v>0</v>
      </c>
      <c r="N25" s="34">
        <v>0.66</v>
      </c>
      <c r="O25" s="34">
        <f>G25*N25</f>
        <v>56.793660000000003</v>
      </c>
      <c r="P25" s="36" t="s">
        <v>779</v>
      </c>
      <c r="Z25" s="34">
        <f>IF(AQ25="5",BJ25,0)</f>
        <v>0</v>
      </c>
      <c r="AB25" s="34">
        <f>IF(AQ25="1",BH25,0)</f>
        <v>0</v>
      </c>
      <c r="AC25" s="34">
        <f>IF(AQ25="1",BI25,0)</f>
        <v>0</v>
      </c>
      <c r="AD25" s="34">
        <f>IF(AQ25="7",BH25,0)</f>
        <v>0</v>
      </c>
      <c r="AE25" s="34">
        <f>IF(AQ25="7",BI25,0)</f>
        <v>0</v>
      </c>
      <c r="AF25" s="34">
        <f>IF(AQ25="2",BH25,0)</f>
        <v>0</v>
      </c>
      <c r="AG25" s="34">
        <f>IF(AQ25="2",BI25,0)</f>
        <v>0</v>
      </c>
      <c r="AH25" s="34">
        <f>IF(AQ25="0",BJ25,0)</f>
        <v>0</v>
      </c>
      <c r="AI25" s="11" t="s">
        <v>51</v>
      </c>
      <c r="AJ25" s="34">
        <f>IF(AN25=0,L25,0)</f>
        <v>0</v>
      </c>
      <c r="AK25" s="34">
        <f>IF(AN25=12,L25,0)</f>
        <v>0</v>
      </c>
      <c r="AL25" s="34">
        <f>IF(AN25=21,L25,0)</f>
        <v>0</v>
      </c>
      <c r="AN25" s="34">
        <v>21</v>
      </c>
      <c r="AO25" s="34">
        <f>H25*0</f>
        <v>0</v>
      </c>
      <c r="AP25" s="34">
        <f>H25*(1-0)</f>
        <v>0</v>
      </c>
      <c r="AQ25" s="35" t="s">
        <v>55</v>
      </c>
      <c r="AV25" s="34">
        <f>AW25+AX25</f>
        <v>0</v>
      </c>
      <c r="AW25" s="34">
        <f>G25*AO25</f>
        <v>0</v>
      </c>
      <c r="AX25" s="34">
        <f>G25*AP25</f>
        <v>0</v>
      </c>
      <c r="AY25" s="35" t="s">
        <v>60</v>
      </c>
      <c r="AZ25" s="35" t="s">
        <v>61</v>
      </c>
      <c r="BA25" s="11" t="s">
        <v>62</v>
      </c>
      <c r="BC25" s="34">
        <f>AW25+AX25</f>
        <v>0</v>
      </c>
      <c r="BD25" s="34">
        <f>H25/(100-BE25)*100</f>
        <v>0</v>
      </c>
      <c r="BE25" s="34">
        <v>0</v>
      </c>
      <c r="BF25" s="34">
        <f>O25</f>
        <v>56.793660000000003</v>
      </c>
      <c r="BH25" s="34">
        <f>G25*AO25</f>
        <v>0</v>
      </c>
      <c r="BI25" s="34">
        <f>G25*AP25</f>
        <v>0</v>
      </c>
      <c r="BJ25" s="34">
        <f>G25*H25</f>
        <v>0</v>
      </c>
      <c r="BK25" s="34"/>
      <c r="BL25" s="34">
        <v>11</v>
      </c>
      <c r="BW25" s="34" t="str">
        <f>I25</f>
        <v>21</v>
      </c>
    </row>
    <row r="26" spans="1:75" x14ac:dyDescent="0.25">
      <c r="A26" s="37"/>
      <c r="D26" s="38" t="s">
        <v>68</v>
      </c>
      <c r="E26" s="39" t="s">
        <v>88</v>
      </c>
      <c r="G26" s="40">
        <v>86.051000000000002</v>
      </c>
      <c r="P26" s="41"/>
    </row>
    <row r="27" spans="1:75" ht="13.5" customHeight="1" x14ac:dyDescent="0.25">
      <c r="A27" s="2" t="s">
        <v>89</v>
      </c>
      <c r="B27" s="3" t="s">
        <v>51</v>
      </c>
      <c r="C27" s="3" t="s">
        <v>90</v>
      </c>
      <c r="D27" s="76" t="s">
        <v>91</v>
      </c>
      <c r="E27" s="77"/>
      <c r="F27" s="3" t="s">
        <v>58</v>
      </c>
      <c r="G27" s="34">
        <v>9.48</v>
      </c>
      <c r="H27" s="34"/>
      <c r="I27" s="35" t="s">
        <v>59</v>
      </c>
      <c r="J27" s="34">
        <f>G27*AO27</f>
        <v>0</v>
      </c>
      <c r="K27" s="34">
        <f>G27*AP27</f>
        <v>0</v>
      </c>
      <c r="L27" s="34">
        <f>G27*H27</f>
        <v>0</v>
      </c>
      <c r="M27" s="34">
        <f>L27*(1+BW27/100)</f>
        <v>0</v>
      </c>
      <c r="N27" s="34">
        <v>0.33</v>
      </c>
      <c r="O27" s="34">
        <f>G27*N27</f>
        <v>3.1284000000000001</v>
      </c>
      <c r="P27" s="36" t="s">
        <v>779</v>
      </c>
      <c r="Z27" s="34">
        <f>IF(AQ27="5",BJ27,0)</f>
        <v>0</v>
      </c>
      <c r="AB27" s="34">
        <f>IF(AQ27="1",BH27,0)</f>
        <v>0</v>
      </c>
      <c r="AC27" s="34">
        <f>IF(AQ27="1",BI27,0)</f>
        <v>0</v>
      </c>
      <c r="AD27" s="34">
        <f>IF(AQ27="7",BH27,0)</f>
        <v>0</v>
      </c>
      <c r="AE27" s="34">
        <f>IF(AQ27="7",BI27,0)</f>
        <v>0</v>
      </c>
      <c r="AF27" s="34">
        <f>IF(AQ27="2",BH27,0)</f>
        <v>0</v>
      </c>
      <c r="AG27" s="34">
        <f>IF(AQ27="2",BI27,0)</f>
        <v>0</v>
      </c>
      <c r="AH27" s="34">
        <f>IF(AQ27="0",BJ27,0)</f>
        <v>0</v>
      </c>
      <c r="AI27" s="11" t="s">
        <v>51</v>
      </c>
      <c r="AJ27" s="34">
        <f>IF(AN27=0,L27,0)</f>
        <v>0</v>
      </c>
      <c r="AK27" s="34">
        <f>IF(AN27=12,L27,0)</f>
        <v>0</v>
      </c>
      <c r="AL27" s="34">
        <f>IF(AN27=21,L27,0)</f>
        <v>0</v>
      </c>
      <c r="AN27" s="34">
        <v>21</v>
      </c>
      <c r="AO27" s="34">
        <f>H27*0</f>
        <v>0</v>
      </c>
      <c r="AP27" s="34">
        <f>H27*(1-0)</f>
        <v>0</v>
      </c>
      <c r="AQ27" s="35" t="s">
        <v>55</v>
      </c>
      <c r="AV27" s="34">
        <f>AW27+AX27</f>
        <v>0</v>
      </c>
      <c r="AW27" s="34">
        <f>G27*AO27</f>
        <v>0</v>
      </c>
      <c r="AX27" s="34">
        <f>G27*AP27</f>
        <v>0</v>
      </c>
      <c r="AY27" s="35" t="s">
        <v>60</v>
      </c>
      <c r="AZ27" s="35" t="s">
        <v>61</v>
      </c>
      <c r="BA27" s="11" t="s">
        <v>62</v>
      </c>
      <c r="BC27" s="34">
        <f>AW27+AX27</f>
        <v>0</v>
      </c>
      <c r="BD27" s="34">
        <f>H27/(100-BE27)*100</f>
        <v>0</v>
      </c>
      <c r="BE27" s="34">
        <v>0</v>
      </c>
      <c r="BF27" s="34">
        <f>O27</f>
        <v>3.1284000000000001</v>
      </c>
      <c r="BH27" s="34">
        <f>G27*AO27</f>
        <v>0</v>
      </c>
      <c r="BI27" s="34">
        <f>G27*AP27</f>
        <v>0</v>
      </c>
      <c r="BJ27" s="34">
        <f>G27*H27</f>
        <v>0</v>
      </c>
      <c r="BK27" s="34"/>
      <c r="BL27" s="34">
        <v>11</v>
      </c>
      <c r="BW27" s="34" t="str">
        <f>I27</f>
        <v>21</v>
      </c>
    </row>
    <row r="28" spans="1:75" x14ac:dyDescent="0.25">
      <c r="A28" s="37"/>
      <c r="D28" s="38" t="s">
        <v>92</v>
      </c>
      <c r="E28" s="39" t="s">
        <v>93</v>
      </c>
      <c r="G28" s="40">
        <v>9.48</v>
      </c>
      <c r="P28" s="41"/>
    </row>
    <row r="29" spans="1:75" ht="13.5" customHeight="1" x14ac:dyDescent="0.25">
      <c r="A29" s="2" t="s">
        <v>94</v>
      </c>
      <c r="B29" s="3" t="s">
        <v>51</v>
      </c>
      <c r="C29" s="3" t="s">
        <v>95</v>
      </c>
      <c r="D29" s="76" t="s">
        <v>96</v>
      </c>
      <c r="E29" s="77"/>
      <c r="F29" s="3" t="s">
        <v>58</v>
      </c>
      <c r="G29" s="34">
        <v>413.68400000000003</v>
      </c>
      <c r="H29" s="34"/>
      <c r="I29" s="35" t="s">
        <v>59</v>
      </c>
      <c r="J29" s="34">
        <f>G29*AO29</f>
        <v>0</v>
      </c>
      <c r="K29" s="34">
        <f>G29*AP29</f>
        <v>0</v>
      </c>
      <c r="L29" s="34">
        <f>G29*H29</f>
        <v>0</v>
      </c>
      <c r="M29" s="34">
        <f>L29*(1+BW29/100)</f>
        <v>0</v>
      </c>
      <c r="N29" s="34">
        <v>0.33</v>
      </c>
      <c r="O29" s="34">
        <f>G29*N29</f>
        <v>136.51572000000002</v>
      </c>
      <c r="P29" s="36" t="s">
        <v>779</v>
      </c>
      <c r="Z29" s="34">
        <f>IF(AQ29="5",BJ29,0)</f>
        <v>0</v>
      </c>
      <c r="AB29" s="34">
        <f>IF(AQ29="1",BH29,0)</f>
        <v>0</v>
      </c>
      <c r="AC29" s="34">
        <f>IF(AQ29="1",BI29,0)</f>
        <v>0</v>
      </c>
      <c r="AD29" s="34">
        <f>IF(AQ29="7",BH29,0)</f>
        <v>0</v>
      </c>
      <c r="AE29" s="34">
        <f>IF(AQ29="7",BI29,0)</f>
        <v>0</v>
      </c>
      <c r="AF29" s="34">
        <f>IF(AQ29="2",BH29,0)</f>
        <v>0</v>
      </c>
      <c r="AG29" s="34">
        <f>IF(AQ29="2",BI29,0)</f>
        <v>0</v>
      </c>
      <c r="AH29" s="34">
        <f>IF(AQ29="0",BJ29,0)</f>
        <v>0</v>
      </c>
      <c r="AI29" s="11" t="s">
        <v>51</v>
      </c>
      <c r="AJ29" s="34">
        <f>IF(AN29=0,L29,0)</f>
        <v>0</v>
      </c>
      <c r="AK29" s="34">
        <f>IF(AN29=12,L29,0)</f>
        <v>0</v>
      </c>
      <c r="AL29" s="34">
        <f>IF(AN29=21,L29,0)</f>
        <v>0</v>
      </c>
      <c r="AN29" s="34">
        <v>21</v>
      </c>
      <c r="AO29" s="34">
        <f>H29*0</f>
        <v>0</v>
      </c>
      <c r="AP29" s="34">
        <f>H29*(1-0)</f>
        <v>0</v>
      </c>
      <c r="AQ29" s="35" t="s">
        <v>55</v>
      </c>
      <c r="AV29" s="34">
        <f>AW29+AX29</f>
        <v>0</v>
      </c>
      <c r="AW29" s="34">
        <f>G29*AO29</f>
        <v>0</v>
      </c>
      <c r="AX29" s="34">
        <f>G29*AP29</f>
        <v>0</v>
      </c>
      <c r="AY29" s="35" t="s">
        <v>60</v>
      </c>
      <c r="AZ29" s="35" t="s">
        <v>61</v>
      </c>
      <c r="BA29" s="11" t="s">
        <v>62</v>
      </c>
      <c r="BC29" s="34">
        <f>AW29+AX29</f>
        <v>0</v>
      </c>
      <c r="BD29" s="34">
        <f>H29/(100-BE29)*100</f>
        <v>0</v>
      </c>
      <c r="BE29" s="34">
        <v>0</v>
      </c>
      <c r="BF29" s="34">
        <f>O29</f>
        <v>136.51572000000002</v>
      </c>
      <c r="BH29" s="34">
        <f>G29*AO29</f>
        <v>0</v>
      </c>
      <c r="BI29" s="34">
        <f>G29*AP29</f>
        <v>0</v>
      </c>
      <c r="BJ29" s="34">
        <f>G29*H29</f>
        <v>0</v>
      </c>
      <c r="BK29" s="34"/>
      <c r="BL29" s="34">
        <v>11</v>
      </c>
      <c r="BW29" s="34" t="str">
        <f>I29</f>
        <v>21</v>
      </c>
    </row>
    <row r="30" spans="1:75" x14ac:dyDescent="0.25">
      <c r="A30" s="37"/>
      <c r="D30" s="38" t="s">
        <v>83</v>
      </c>
      <c r="E30" s="39" t="s">
        <v>97</v>
      </c>
      <c r="G30" s="40">
        <v>413.68400000000003</v>
      </c>
      <c r="P30" s="41"/>
    </row>
    <row r="31" spans="1:75" ht="13.5" customHeight="1" x14ac:dyDescent="0.25">
      <c r="A31" s="2" t="s">
        <v>98</v>
      </c>
      <c r="B31" s="3" t="s">
        <v>51</v>
      </c>
      <c r="C31" s="3" t="s">
        <v>99</v>
      </c>
      <c r="D31" s="76" t="s">
        <v>100</v>
      </c>
      <c r="E31" s="77"/>
      <c r="F31" s="3" t="s">
        <v>58</v>
      </c>
      <c r="G31" s="34">
        <v>11.52</v>
      </c>
      <c r="H31" s="34"/>
      <c r="I31" s="35" t="s">
        <v>59</v>
      </c>
      <c r="J31" s="34">
        <f>G31*AO31</f>
        <v>0</v>
      </c>
      <c r="K31" s="34">
        <f>G31*AP31</f>
        <v>0</v>
      </c>
      <c r="L31" s="34">
        <f>G31*H31</f>
        <v>0</v>
      </c>
      <c r="M31" s="34">
        <f>L31*(1+BW31/100)</f>
        <v>0</v>
      </c>
      <c r="N31" s="34">
        <v>0.36</v>
      </c>
      <c r="O31" s="34">
        <f>G31*N31</f>
        <v>4.1471999999999998</v>
      </c>
      <c r="P31" s="36" t="s">
        <v>779</v>
      </c>
      <c r="Z31" s="34">
        <f>IF(AQ31="5",BJ31,0)</f>
        <v>0</v>
      </c>
      <c r="AB31" s="34">
        <f>IF(AQ31="1",BH31,0)</f>
        <v>0</v>
      </c>
      <c r="AC31" s="34">
        <f>IF(AQ31="1",BI31,0)</f>
        <v>0</v>
      </c>
      <c r="AD31" s="34">
        <f>IF(AQ31="7",BH31,0)</f>
        <v>0</v>
      </c>
      <c r="AE31" s="34">
        <f>IF(AQ31="7",BI31,0)</f>
        <v>0</v>
      </c>
      <c r="AF31" s="34">
        <f>IF(AQ31="2",BH31,0)</f>
        <v>0</v>
      </c>
      <c r="AG31" s="34">
        <f>IF(AQ31="2",BI31,0)</f>
        <v>0</v>
      </c>
      <c r="AH31" s="34">
        <f>IF(AQ31="0",BJ31,0)</f>
        <v>0</v>
      </c>
      <c r="AI31" s="11" t="s">
        <v>51</v>
      </c>
      <c r="AJ31" s="34">
        <f>IF(AN31=0,L31,0)</f>
        <v>0</v>
      </c>
      <c r="AK31" s="34">
        <f>IF(AN31=12,L31,0)</f>
        <v>0</v>
      </c>
      <c r="AL31" s="34">
        <f>IF(AN31=21,L31,0)</f>
        <v>0</v>
      </c>
      <c r="AN31" s="34">
        <v>21</v>
      </c>
      <c r="AO31" s="34">
        <f>H31*0</f>
        <v>0</v>
      </c>
      <c r="AP31" s="34">
        <f>H31*(1-0)</f>
        <v>0</v>
      </c>
      <c r="AQ31" s="35" t="s">
        <v>55</v>
      </c>
      <c r="AV31" s="34">
        <f>AW31+AX31</f>
        <v>0</v>
      </c>
      <c r="AW31" s="34">
        <f>G31*AO31</f>
        <v>0</v>
      </c>
      <c r="AX31" s="34">
        <f>G31*AP31</f>
        <v>0</v>
      </c>
      <c r="AY31" s="35" t="s">
        <v>60</v>
      </c>
      <c r="AZ31" s="35" t="s">
        <v>61</v>
      </c>
      <c r="BA31" s="11" t="s">
        <v>62</v>
      </c>
      <c r="BC31" s="34">
        <f>AW31+AX31</f>
        <v>0</v>
      </c>
      <c r="BD31" s="34">
        <f>H31/(100-BE31)*100</f>
        <v>0</v>
      </c>
      <c r="BE31" s="34">
        <v>0</v>
      </c>
      <c r="BF31" s="34">
        <f>O31</f>
        <v>4.1471999999999998</v>
      </c>
      <c r="BH31" s="34">
        <f>G31*AO31</f>
        <v>0</v>
      </c>
      <c r="BI31" s="34">
        <f>G31*AP31</f>
        <v>0</v>
      </c>
      <c r="BJ31" s="34">
        <f>G31*H31</f>
        <v>0</v>
      </c>
      <c r="BK31" s="34"/>
      <c r="BL31" s="34">
        <v>11</v>
      </c>
      <c r="BW31" s="34" t="str">
        <f>I31</f>
        <v>21</v>
      </c>
    </row>
    <row r="32" spans="1:75" x14ac:dyDescent="0.25">
      <c r="A32" s="37"/>
      <c r="D32" s="38" t="s">
        <v>101</v>
      </c>
      <c r="E32" s="39" t="s">
        <v>102</v>
      </c>
      <c r="G32" s="40">
        <v>11.52</v>
      </c>
      <c r="P32" s="41"/>
    </row>
    <row r="33" spans="1:75" ht="13.5" customHeight="1" x14ac:dyDescent="0.25">
      <c r="A33" s="2" t="s">
        <v>103</v>
      </c>
      <c r="B33" s="3" t="s">
        <v>51</v>
      </c>
      <c r="C33" s="3" t="s">
        <v>104</v>
      </c>
      <c r="D33" s="76" t="s">
        <v>105</v>
      </c>
      <c r="E33" s="77"/>
      <c r="F33" s="3" t="s">
        <v>58</v>
      </c>
      <c r="G33" s="34">
        <v>42.402000000000001</v>
      </c>
      <c r="H33" s="34"/>
      <c r="I33" s="35" t="s">
        <v>59</v>
      </c>
      <c r="J33" s="34">
        <f>G33*AO33</f>
        <v>0</v>
      </c>
      <c r="K33" s="34">
        <f>G33*AP33</f>
        <v>0</v>
      </c>
      <c r="L33" s="34">
        <f>G33*H33</f>
        <v>0</v>
      </c>
      <c r="M33" s="34">
        <f>L33*(1+BW33/100)</f>
        <v>0</v>
      </c>
      <c r="N33" s="34">
        <v>8.7999999999999995E-2</v>
      </c>
      <c r="O33" s="34">
        <f>G33*N33</f>
        <v>3.731376</v>
      </c>
      <c r="P33" s="36" t="s">
        <v>779</v>
      </c>
      <c r="Z33" s="34">
        <f>IF(AQ33="5",BJ33,0)</f>
        <v>0</v>
      </c>
      <c r="AB33" s="34">
        <f>IF(AQ33="1",BH33,0)</f>
        <v>0</v>
      </c>
      <c r="AC33" s="34">
        <f>IF(AQ33="1",BI33,0)</f>
        <v>0</v>
      </c>
      <c r="AD33" s="34">
        <f>IF(AQ33="7",BH33,0)</f>
        <v>0</v>
      </c>
      <c r="AE33" s="34">
        <f>IF(AQ33="7",BI33,0)</f>
        <v>0</v>
      </c>
      <c r="AF33" s="34">
        <f>IF(AQ33="2",BH33,0)</f>
        <v>0</v>
      </c>
      <c r="AG33" s="34">
        <f>IF(AQ33="2",BI33,0)</f>
        <v>0</v>
      </c>
      <c r="AH33" s="34">
        <f>IF(AQ33="0",BJ33,0)</f>
        <v>0</v>
      </c>
      <c r="AI33" s="11" t="s">
        <v>51</v>
      </c>
      <c r="AJ33" s="34">
        <f>IF(AN33=0,L33,0)</f>
        <v>0</v>
      </c>
      <c r="AK33" s="34">
        <f>IF(AN33=12,L33,0)</f>
        <v>0</v>
      </c>
      <c r="AL33" s="34">
        <f>IF(AN33=21,L33,0)</f>
        <v>0</v>
      </c>
      <c r="AN33" s="34">
        <v>21</v>
      </c>
      <c r="AO33" s="34">
        <f>H33*0</f>
        <v>0</v>
      </c>
      <c r="AP33" s="34">
        <f>H33*(1-0)</f>
        <v>0</v>
      </c>
      <c r="AQ33" s="35" t="s">
        <v>55</v>
      </c>
      <c r="AV33" s="34">
        <f>AW33+AX33</f>
        <v>0</v>
      </c>
      <c r="AW33" s="34">
        <f>G33*AO33</f>
        <v>0</v>
      </c>
      <c r="AX33" s="34">
        <f>G33*AP33</f>
        <v>0</v>
      </c>
      <c r="AY33" s="35" t="s">
        <v>60</v>
      </c>
      <c r="AZ33" s="35" t="s">
        <v>61</v>
      </c>
      <c r="BA33" s="11" t="s">
        <v>62</v>
      </c>
      <c r="BC33" s="34">
        <f>AW33+AX33</f>
        <v>0</v>
      </c>
      <c r="BD33" s="34">
        <f>H33/(100-BE33)*100</f>
        <v>0</v>
      </c>
      <c r="BE33" s="34">
        <v>0</v>
      </c>
      <c r="BF33" s="34">
        <f>O33</f>
        <v>3.731376</v>
      </c>
      <c r="BH33" s="34">
        <f>G33*AO33</f>
        <v>0</v>
      </c>
      <c r="BI33" s="34">
        <f>G33*AP33</f>
        <v>0</v>
      </c>
      <c r="BJ33" s="34">
        <f>G33*H33</f>
        <v>0</v>
      </c>
      <c r="BK33" s="34"/>
      <c r="BL33" s="34">
        <v>11</v>
      </c>
      <c r="BW33" s="34" t="str">
        <f>I33</f>
        <v>21</v>
      </c>
    </row>
    <row r="34" spans="1:75" x14ac:dyDescent="0.25">
      <c r="A34" s="37"/>
      <c r="D34" s="38" t="s">
        <v>106</v>
      </c>
      <c r="E34" s="39" t="s">
        <v>107</v>
      </c>
      <c r="G34" s="40">
        <v>42.402000000000001</v>
      </c>
      <c r="P34" s="41"/>
    </row>
    <row r="35" spans="1:75" ht="13.5" customHeight="1" x14ac:dyDescent="0.25">
      <c r="A35" s="2" t="s">
        <v>53</v>
      </c>
      <c r="B35" s="3" t="s">
        <v>51</v>
      </c>
      <c r="C35" s="3" t="s">
        <v>108</v>
      </c>
      <c r="D35" s="76" t="s">
        <v>109</v>
      </c>
      <c r="E35" s="77"/>
      <c r="F35" s="3" t="s">
        <v>58</v>
      </c>
      <c r="G35" s="34">
        <v>33.921999999999997</v>
      </c>
      <c r="H35" s="34"/>
      <c r="I35" s="35" t="s">
        <v>59</v>
      </c>
      <c r="J35" s="34">
        <f>G35*AO35</f>
        <v>0</v>
      </c>
      <c r="K35" s="34">
        <f>G35*AP35</f>
        <v>0</v>
      </c>
      <c r="L35" s="34">
        <f>G35*H35</f>
        <v>0</v>
      </c>
      <c r="M35" s="34">
        <f>L35*(1+BW35/100)</f>
        <v>0</v>
      </c>
      <c r="N35" s="34">
        <v>0.154</v>
      </c>
      <c r="O35" s="34">
        <f>G35*N35</f>
        <v>5.2239879999999994</v>
      </c>
      <c r="P35" s="36" t="s">
        <v>779</v>
      </c>
      <c r="Z35" s="34">
        <f>IF(AQ35="5",BJ35,0)</f>
        <v>0</v>
      </c>
      <c r="AB35" s="34">
        <f>IF(AQ35="1",BH35,0)</f>
        <v>0</v>
      </c>
      <c r="AC35" s="34">
        <f>IF(AQ35="1",BI35,0)</f>
        <v>0</v>
      </c>
      <c r="AD35" s="34">
        <f>IF(AQ35="7",BH35,0)</f>
        <v>0</v>
      </c>
      <c r="AE35" s="34">
        <f>IF(AQ35="7",BI35,0)</f>
        <v>0</v>
      </c>
      <c r="AF35" s="34">
        <f>IF(AQ35="2",BH35,0)</f>
        <v>0</v>
      </c>
      <c r="AG35" s="34">
        <f>IF(AQ35="2",BI35,0)</f>
        <v>0</v>
      </c>
      <c r="AH35" s="34">
        <f>IF(AQ35="0",BJ35,0)</f>
        <v>0</v>
      </c>
      <c r="AI35" s="11" t="s">
        <v>51</v>
      </c>
      <c r="AJ35" s="34">
        <f>IF(AN35=0,L35,0)</f>
        <v>0</v>
      </c>
      <c r="AK35" s="34">
        <f>IF(AN35=12,L35,0)</f>
        <v>0</v>
      </c>
      <c r="AL35" s="34">
        <f>IF(AN35=21,L35,0)</f>
        <v>0</v>
      </c>
      <c r="AN35" s="34">
        <v>21</v>
      </c>
      <c r="AO35" s="34">
        <f>H35*0</f>
        <v>0</v>
      </c>
      <c r="AP35" s="34">
        <f>H35*(1-0)</f>
        <v>0</v>
      </c>
      <c r="AQ35" s="35" t="s">
        <v>55</v>
      </c>
      <c r="AV35" s="34">
        <f>AW35+AX35</f>
        <v>0</v>
      </c>
      <c r="AW35" s="34">
        <f>G35*AO35</f>
        <v>0</v>
      </c>
      <c r="AX35" s="34">
        <f>G35*AP35</f>
        <v>0</v>
      </c>
      <c r="AY35" s="35" t="s">
        <v>60</v>
      </c>
      <c r="AZ35" s="35" t="s">
        <v>61</v>
      </c>
      <c r="BA35" s="11" t="s">
        <v>62</v>
      </c>
      <c r="BC35" s="34">
        <f>AW35+AX35</f>
        <v>0</v>
      </c>
      <c r="BD35" s="34">
        <f>H35/(100-BE35)*100</f>
        <v>0</v>
      </c>
      <c r="BE35" s="34">
        <v>0</v>
      </c>
      <c r="BF35" s="34">
        <f>O35</f>
        <v>5.2239879999999994</v>
      </c>
      <c r="BH35" s="34">
        <f>G35*AO35</f>
        <v>0</v>
      </c>
      <c r="BI35" s="34">
        <f>G35*AP35</f>
        <v>0</v>
      </c>
      <c r="BJ35" s="34">
        <f>G35*H35</f>
        <v>0</v>
      </c>
      <c r="BK35" s="34"/>
      <c r="BL35" s="34">
        <v>11</v>
      </c>
      <c r="BW35" s="34" t="str">
        <f>I35</f>
        <v>21</v>
      </c>
    </row>
    <row r="36" spans="1:75" x14ac:dyDescent="0.25">
      <c r="A36" s="37"/>
      <c r="D36" s="38" t="s">
        <v>110</v>
      </c>
      <c r="E36" s="39" t="s">
        <v>111</v>
      </c>
      <c r="G36" s="40">
        <v>33.921999999999997</v>
      </c>
      <c r="P36" s="41"/>
    </row>
    <row r="37" spans="1:75" ht="13.5" customHeight="1" x14ac:dyDescent="0.25">
      <c r="A37" s="2" t="s">
        <v>112</v>
      </c>
      <c r="B37" s="3" t="s">
        <v>51</v>
      </c>
      <c r="C37" s="3" t="s">
        <v>113</v>
      </c>
      <c r="D37" s="76" t="s">
        <v>114</v>
      </c>
      <c r="E37" s="77"/>
      <c r="F37" s="3" t="s">
        <v>115</v>
      </c>
      <c r="G37" s="34">
        <v>151.35</v>
      </c>
      <c r="H37" s="34"/>
      <c r="I37" s="35" t="s">
        <v>59</v>
      </c>
      <c r="J37" s="34">
        <f>G37*AO37</f>
        <v>0</v>
      </c>
      <c r="K37" s="34">
        <f>G37*AP37</f>
        <v>0</v>
      </c>
      <c r="L37" s="34">
        <f>G37*H37</f>
        <v>0</v>
      </c>
      <c r="M37" s="34">
        <f>L37*(1+BW37/100)</f>
        <v>0</v>
      </c>
      <c r="N37" s="34">
        <v>0.27</v>
      </c>
      <c r="O37" s="34">
        <f>G37*N37</f>
        <v>40.8645</v>
      </c>
      <c r="P37" s="36" t="s">
        <v>779</v>
      </c>
      <c r="Z37" s="34">
        <f>IF(AQ37="5",BJ37,0)</f>
        <v>0</v>
      </c>
      <c r="AB37" s="34">
        <f>IF(AQ37="1",BH37,0)</f>
        <v>0</v>
      </c>
      <c r="AC37" s="34">
        <f>IF(AQ37="1",BI37,0)</f>
        <v>0</v>
      </c>
      <c r="AD37" s="34">
        <f>IF(AQ37="7",BH37,0)</f>
        <v>0</v>
      </c>
      <c r="AE37" s="34">
        <f>IF(AQ37="7",BI37,0)</f>
        <v>0</v>
      </c>
      <c r="AF37" s="34">
        <f>IF(AQ37="2",BH37,0)</f>
        <v>0</v>
      </c>
      <c r="AG37" s="34">
        <f>IF(AQ37="2",BI37,0)</f>
        <v>0</v>
      </c>
      <c r="AH37" s="34">
        <f>IF(AQ37="0",BJ37,0)</f>
        <v>0</v>
      </c>
      <c r="AI37" s="11" t="s">
        <v>51</v>
      </c>
      <c r="AJ37" s="34">
        <f>IF(AN37=0,L37,0)</f>
        <v>0</v>
      </c>
      <c r="AK37" s="34">
        <f>IF(AN37=12,L37,0)</f>
        <v>0</v>
      </c>
      <c r="AL37" s="34">
        <f>IF(AN37=21,L37,0)</f>
        <v>0</v>
      </c>
      <c r="AN37" s="34">
        <v>21</v>
      </c>
      <c r="AO37" s="34">
        <f>H37*0</f>
        <v>0</v>
      </c>
      <c r="AP37" s="34">
        <f>H37*(1-0)</f>
        <v>0</v>
      </c>
      <c r="AQ37" s="35" t="s">
        <v>55</v>
      </c>
      <c r="AV37" s="34">
        <f>AW37+AX37</f>
        <v>0</v>
      </c>
      <c r="AW37" s="34">
        <f>G37*AO37</f>
        <v>0</v>
      </c>
      <c r="AX37" s="34">
        <f>G37*AP37</f>
        <v>0</v>
      </c>
      <c r="AY37" s="35" t="s">
        <v>60</v>
      </c>
      <c r="AZ37" s="35" t="s">
        <v>61</v>
      </c>
      <c r="BA37" s="11" t="s">
        <v>62</v>
      </c>
      <c r="BC37" s="34">
        <f>AW37+AX37</f>
        <v>0</v>
      </c>
      <c r="BD37" s="34">
        <f>H37/(100-BE37)*100</f>
        <v>0</v>
      </c>
      <c r="BE37" s="34">
        <v>0</v>
      </c>
      <c r="BF37" s="34">
        <f>O37</f>
        <v>40.8645</v>
      </c>
      <c r="BH37" s="34">
        <f>G37*AO37</f>
        <v>0</v>
      </c>
      <c r="BI37" s="34">
        <f>G37*AP37</f>
        <v>0</v>
      </c>
      <c r="BJ37" s="34">
        <f>G37*H37</f>
        <v>0</v>
      </c>
      <c r="BK37" s="34"/>
      <c r="BL37" s="34">
        <v>11</v>
      </c>
      <c r="BW37" s="34" t="str">
        <f>I37</f>
        <v>21</v>
      </c>
    </row>
    <row r="38" spans="1:75" x14ac:dyDescent="0.25">
      <c r="A38" s="37"/>
      <c r="D38" s="38" t="s">
        <v>116</v>
      </c>
      <c r="E38" s="39" t="s">
        <v>117</v>
      </c>
      <c r="G38" s="40">
        <v>151.35</v>
      </c>
      <c r="P38" s="41"/>
    </row>
    <row r="39" spans="1:75" ht="13.5" customHeight="1" x14ac:dyDescent="0.25">
      <c r="A39" s="2" t="s">
        <v>118</v>
      </c>
      <c r="B39" s="3" t="s">
        <v>51</v>
      </c>
      <c r="C39" s="3" t="s">
        <v>119</v>
      </c>
      <c r="D39" s="76" t="s">
        <v>120</v>
      </c>
      <c r="E39" s="77"/>
      <c r="F39" s="3" t="s">
        <v>115</v>
      </c>
      <c r="G39" s="34">
        <v>8.5</v>
      </c>
      <c r="H39" s="34"/>
      <c r="I39" s="35" t="s">
        <v>59</v>
      </c>
      <c r="J39" s="34">
        <f>G39*AO39</f>
        <v>0</v>
      </c>
      <c r="K39" s="34">
        <f>G39*AP39</f>
        <v>0</v>
      </c>
      <c r="L39" s="34">
        <f>G39*H39</f>
        <v>0</v>
      </c>
      <c r="M39" s="34">
        <f>L39*(1+BW39/100)</f>
        <v>0</v>
      </c>
      <c r="N39" s="34">
        <v>0.23396</v>
      </c>
      <c r="O39" s="34">
        <f>G39*N39</f>
        <v>1.9886600000000001</v>
      </c>
      <c r="P39" s="36" t="s">
        <v>779</v>
      </c>
      <c r="Z39" s="34">
        <f>IF(AQ39="5",BJ39,0)</f>
        <v>0</v>
      </c>
      <c r="AB39" s="34">
        <f>IF(AQ39="1",BH39,0)</f>
        <v>0</v>
      </c>
      <c r="AC39" s="34">
        <f>IF(AQ39="1",BI39,0)</f>
        <v>0</v>
      </c>
      <c r="AD39" s="34">
        <f>IF(AQ39="7",BH39,0)</f>
        <v>0</v>
      </c>
      <c r="AE39" s="34">
        <f>IF(AQ39="7",BI39,0)</f>
        <v>0</v>
      </c>
      <c r="AF39" s="34">
        <f>IF(AQ39="2",BH39,0)</f>
        <v>0</v>
      </c>
      <c r="AG39" s="34">
        <f>IF(AQ39="2",BI39,0)</f>
        <v>0</v>
      </c>
      <c r="AH39" s="34">
        <f>IF(AQ39="0",BJ39,0)</f>
        <v>0</v>
      </c>
      <c r="AI39" s="11" t="s">
        <v>51</v>
      </c>
      <c r="AJ39" s="34">
        <f>IF(AN39=0,L39,0)</f>
        <v>0</v>
      </c>
      <c r="AK39" s="34">
        <f>IF(AN39=12,L39,0)</f>
        <v>0</v>
      </c>
      <c r="AL39" s="34">
        <f>IF(AN39=21,L39,0)</f>
        <v>0</v>
      </c>
      <c r="AN39" s="34">
        <v>21</v>
      </c>
      <c r="AO39" s="34">
        <f>H39*0</f>
        <v>0</v>
      </c>
      <c r="AP39" s="34">
        <f>H39*(1-0)</f>
        <v>0</v>
      </c>
      <c r="AQ39" s="35" t="s">
        <v>55</v>
      </c>
      <c r="AV39" s="34">
        <f>AW39+AX39</f>
        <v>0</v>
      </c>
      <c r="AW39" s="34">
        <f>G39*AO39</f>
        <v>0</v>
      </c>
      <c r="AX39" s="34">
        <f>G39*AP39</f>
        <v>0</v>
      </c>
      <c r="AY39" s="35" t="s">
        <v>60</v>
      </c>
      <c r="AZ39" s="35" t="s">
        <v>61</v>
      </c>
      <c r="BA39" s="11" t="s">
        <v>62</v>
      </c>
      <c r="BC39" s="34">
        <f>AW39+AX39</f>
        <v>0</v>
      </c>
      <c r="BD39" s="34">
        <f>H39/(100-BE39)*100</f>
        <v>0</v>
      </c>
      <c r="BE39" s="34">
        <v>0</v>
      </c>
      <c r="BF39" s="34">
        <f>O39</f>
        <v>1.9886600000000001</v>
      </c>
      <c r="BH39" s="34">
        <f>G39*AO39</f>
        <v>0</v>
      </c>
      <c r="BI39" s="34">
        <f>G39*AP39</f>
        <v>0</v>
      </c>
      <c r="BJ39" s="34">
        <f>G39*H39</f>
        <v>0</v>
      </c>
      <c r="BK39" s="34"/>
      <c r="BL39" s="34">
        <v>11</v>
      </c>
      <c r="BW39" s="34" t="str">
        <f>I39</f>
        <v>21</v>
      </c>
    </row>
    <row r="40" spans="1:75" x14ac:dyDescent="0.25">
      <c r="A40" s="37"/>
      <c r="D40" s="38" t="s">
        <v>121</v>
      </c>
      <c r="E40" s="39" t="s">
        <v>122</v>
      </c>
      <c r="G40" s="40">
        <v>8.5</v>
      </c>
      <c r="P40" s="41"/>
    </row>
    <row r="41" spans="1:75" x14ac:dyDescent="0.25">
      <c r="A41" s="30" t="s">
        <v>50</v>
      </c>
      <c r="B41" s="31" t="s">
        <v>51</v>
      </c>
      <c r="C41" s="31" t="s">
        <v>118</v>
      </c>
      <c r="D41" s="130" t="s">
        <v>123</v>
      </c>
      <c r="E41" s="131"/>
      <c r="F41" s="32" t="s">
        <v>3</v>
      </c>
      <c r="G41" s="32" t="s">
        <v>3</v>
      </c>
      <c r="H41" s="32"/>
      <c r="I41" s="32" t="s">
        <v>3</v>
      </c>
      <c r="J41" s="1">
        <f>SUM(J42:J47)</f>
        <v>0</v>
      </c>
      <c r="K41" s="1">
        <f>SUM(K42:K47)</f>
        <v>0</v>
      </c>
      <c r="L41" s="1">
        <f>SUM(L42:L47)</f>
        <v>0</v>
      </c>
      <c r="M41" s="1">
        <f>SUM(M42:M47)</f>
        <v>0</v>
      </c>
      <c r="N41" s="11" t="s">
        <v>50</v>
      </c>
      <c r="O41" s="1">
        <f>SUM(O42:O47)</f>
        <v>10.441999999999998</v>
      </c>
      <c r="P41" s="33" t="s">
        <v>50</v>
      </c>
      <c r="AI41" s="11" t="s">
        <v>51</v>
      </c>
      <c r="AS41" s="1">
        <f>SUM(AJ42:AJ47)</f>
        <v>0</v>
      </c>
      <c r="AT41" s="1">
        <f>SUM(AK42:AK47)</f>
        <v>0</v>
      </c>
      <c r="AU41" s="1">
        <f>SUM(AL42:AL47)</f>
        <v>0</v>
      </c>
    </row>
    <row r="42" spans="1:75" ht="13.5" customHeight="1" x14ac:dyDescent="0.25">
      <c r="A42" s="2" t="s">
        <v>124</v>
      </c>
      <c r="B42" s="3" t="s">
        <v>51</v>
      </c>
      <c r="C42" s="3" t="s">
        <v>125</v>
      </c>
      <c r="D42" s="76" t="s">
        <v>126</v>
      </c>
      <c r="E42" s="77"/>
      <c r="F42" s="3" t="s">
        <v>127</v>
      </c>
      <c r="G42" s="34">
        <v>4.54</v>
      </c>
      <c r="H42" s="34"/>
      <c r="I42" s="35" t="s">
        <v>59</v>
      </c>
      <c r="J42" s="34">
        <f>G42*AO42</f>
        <v>0</v>
      </c>
      <c r="K42" s="34">
        <f>G42*AP42</f>
        <v>0</v>
      </c>
      <c r="L42" s="34">
        <f>G42*H42</f>
        <v>0</v>
      </c>
      <c r="M42" s="34">
        <f>L42*(1+BW42/100)</f>
        <v>0</v>
      </c>
      <c r="N42" s="34">
        <v>2.2999999999999998</v>
      </c>
      <c r="O42" s="34">
        <f>G42*N42</f>
        <v>10.441999999999998</v>
      </c>
      <c r="P42" s="36" t="s">
        <v>779</v>
      </c>
      <c r="Z42" s="34">
        <f>IF(AQ42="5",BJ42,0)</f>
        <v>0</v>
      </c>
      <c r="AB42" s="34">
        <f>IF(AQ42="1",BH42,0)</f>
        <v>0</v>
      </c>
      <c r="AC42" s="34">
        <f>IF(AQ42="1",BI42,0)</f>
        <v>0</v>
      </c>
      <c r="AD42" s="34">
        <f>IF(AQ42="7",BH42,0)</f>
        <v>0</v>
      </c>
      <c r="AE42" s="34">
        <f>IF(AQ42="7",BI42,0)</f>
        <v>0</v>
      </c>
      <c r="AF42" s="34">
        <f>IF(AQ42="2",BH42,0)</f>
        <v>0</v>
      </c>
      <c r="AG42" s="34">
        <f>IF(AQ42="2",BI42,0)</f>
        <v>0</v>
      </c>
      <c r="AH42" s="34">
        <f>IF(AQ42="0",BJ42,0)</f>
        <v>0</v>
      </c>
      <c r="AI42" s="11" t="s">
        <v>51</v>
      </c>
      <c r="AJ42" s="34">
        <f>IF(AN42=0,L42,0)</f>
        <v>0</v>
      </c>
      <c r="AK42" s="34">
        <f>IF(AN42=12,L42,0)</f>
        <v>0</v>
      </c>
      <c r="AL42" s="34">
        <f>IF(AN42=21,L42,0)</f>
        <v>0</v>
      </c>
      <c r="AN42" s="34">
        <v>21</v>
      </c>
      <c r="AO42" s="34">
        <f>H42*0</f>
        <v>0</v>
      </c>
      <c r="AP42" s="34">
        <f>H42*(1-0)</f>
        <v>0</v>
      </c>
      <c r="AQ42" s="35" t="s">
        <v>55</v>
      </c>
      <c r="AV42" s="34">
        <f>AW42+AX42</f>
        <v>0</v>
      </c>
      <c r="AW42" s="34">
        <f>G42*AO42</f>
        <v>0</v>
      </c>
      <c r="AX42" s="34">
        <f>G42*AP42</f>
        <v>0</v>
      </c>
      <c r="AY42" s="35" t="s">
        <v>128</v>
      </c>
      <c r="AZ42" s="35" t="s">
        <v>61</v>
      </c>
      <c r="BA42" s="11" t="s">
        <v>62</v>
      </c>
      <c r="BC42" s="34">
        <f>AW42+AX42</f>
        <v>0</v>
      </c>
      <c r="BD42" s="34">
        <f>H42/(100-BE42)*100</f>
        <v>0</v>
      </c>
      <c r="BE42" s="34">
        <v>0</v>
      </c>
      <c r="BF42" s="34">
        <f>O42</f>
        <v>10.441999999999998</v>
      </c>
      <c r="BH42" s="34">
        <f>G42*AO42</f>
        <v>0</v>
      </c>
      <c r="BI42" s="34">
        <f>G42*AP42</f>
        <v>0</v>
      </c>
      <c r="BJ42" s="34">
        <f>G42*H42</f>
        <v>0</v>
      </c>
      <c r="BK42" s="34"/>
      <c r="BL42" s="34">
        <v>13</v>
      </c>
      <c r="BW42" s="34" t="str">
        <f>I42</f>
        <v>21</v>
      </c>
    </row>
    <row r="43" spans="1:75" ht="13.5" customHeight="1" x14ac:dyDescent="0.25">
      <c r="A43" s="37"/>
      <c r="D43" s="132" t="s">
        <v>129</v>
      </c>
      <c r="E43" s="133"/>
      <c r="F43" s="133"/>
      <c r="G43" s="133"/>
      <c r="H43" s="133"/>
      <c r="I43" s="133"/>
      <c r="J43" s="133"/>
      <c r="K43" s="133"/>
      <c r="L43" s="133"/>
      <c r="M43" s="133"/>
      <c r="N43" s="133"/>
      <c r="O43" s="133"/>
      <c r="P43" s="134"/>
    </row>
    <row r="44" spans="1:75" x14ac:dyDescent="0.25">
      <c r="A44" s="37"/>
      <c r="D44" s="38" t="s">
        <v>130</v>
      </c>
      <c r="E44" s="39" t="s">
        <v>131</v>
      </c>
      <c r="G44" s="40">
        <v>4.54</v>
      </c>
      <c r="P44" s="41"/>
    </row>
    <row r="45" spans="1:75" ht="13.5" customHeight="1" x14ac:dyDescent="0.25">
      <c r="A45" s="2" t="s">
        <v>132</v>
      </c>
      <c r="B45" s="3" t="s">
        <v>51</v>
      </c>
      <c r="C45" s="3" t="s">
        <v>133</v>
      </c>
      <c r="D45" s="76" t="s">
        <v>134</v>
      </c>
      <c r="E45" s="77"/>
      <c r="F45" s="3" t="s">
        <v>127</v>
      </c>
      <c r="G45" s="34">
        <v>3.129</v>
      </c>
      <c r="H45" s="34"/>
      <c r="I45" s="35" t="s">
        <v>59</v>
      </c>
      <c r="J45" s="34">
        <f>G45*AO45</f>
        <v>0</v>
      </c>
      <c r="K45" s="34">
        <f>G45*AP45</f>
        <v>0</v>
      </c>
      <c r="L45" s="34">
        <f>G45*H45</f>
        <v>0</v>
      </c>
      <c r="M45" s="34">
        <f>L45*(1+BW45/100)</f>
        <v>0</v>
      </c>
      <c r="N45" s="34">
        <v>0</v>
      </c>
      <c r="O45" s="34">
        <f>G45*N45</f>
        <v>0</v>
      </c>
      <c r="P45" s="36" t="s">
        <v>779</v>
      </c>
      <c r="Z45" s="34">
        <f>IF(AQ45="5",BJ45,0)</f>
        <v>0</v>
      </c>
      <c r="AB45" s="34">
        <f>IF(AQ45="1",BH45,0)</f>
        <v>0</v>
      </c>
      <c r="AC45" s="34">
        <f>IF(AQ45="1",BI45,0)</f>
        <v>0</v>
      </c>
      <c r="AD45" s="34">
        <f>IF(AQ45="7",BH45,0)</f>
        <v>0</v>
      </c>
      <c r="AE45" s="34">
        <f>IF(AQ45="7",BI45,0)</f>
        <v>0</v>
      </c>
      <c r="AF45" s="34">
        <f>IF(AQ45="2",BH45,0)</f>
        <v>0</v>
      </c>
      <c r="AG45" s="34">
        <f>IF(AQ45="2",BI45,0)</f>
        <v>0</v>
      </c>
      <c r="AH45" s="34">
        <f>IF(AQ45="0",BJ45,0)</f>
        <v>0</v>
      </c>
      <c r="AI45" s="11" t="s">
        <v>51</v>
      </c>
      <c r="AJ45" s="34">
        <f>IF(AN45=0,L45,0)</f>
        <v>0</v>
      </c>
      <c r="AK45" s="34">
        <f>IF(AN45=12,L45,0)</f>
        <v>0</v>
      </c>
      <c r="AL45" s="34">
        <f>IF(AN45=21,L45,0)</f>
        <v>0</v>
      </c>
      <c r="AN45" s="34">
        <v>21</v>
      </c>
      <c r="AO45" s="34">
        <f>H45*0</f>
        <v>0</v>
      </c>
      <c r="AP45" s="34">
        <f>H45*(1-0)</f>
        <v>0</v>
      </c>
      <c r="AQ45" s="35" t="s">
        <v>55</v>
      </c>
      <c r="AV45" s="34">
        <f>AW45+AX45</f>
        <v>0</v>
      </c>
      <c r="AW45" s="34">
        <f>G45*AO45</f>
        <v>0</v>
      </c>
      <c r="AX45" s="34">
        <f>G45*AP45</f>
        <v>0</v>
      </c>
      <c r="AY45" s="35" t="s">
        <v>128</v>
      </c>
      <c r="AZ45" s="35" t="s">
        <v>61</v>
      </c>
      <c r="BA45" s="11" t="s">
        <v>62</v>
      </c>
      <c r="BC45" s="34">
        <f>AW45+AX45</f>
        <v>0</v>
      </c>
      <c r="BD45" s="34">
        <f>H45/(100-BE45)*100</f>
        <v>0</v>
      </c>
      <c r="BE45" s="34">
        <v>0</v>
      </c>
      <c r="BF45" s="34">
        <f>O45</f>
        <v>0</v>
      </c>
      <c r="BH45" s="34">
        <f>G45*AO45</f>
        <v>0</v>
      </c>
      <c r="BI45" s="34">
        <f>G45*AP45</f>
        <v>0</v>
      </c>
      <c r="BJ45" s="34">
        <f>G45*H45</f>
        <v>0</v>
      </c>
      <c r="BK45" s="34"/>
      <c r="BL45" s="34">
        <v>13</v>
      </c>
      <c r="BW45" s="34" t="str">
        <f>I45</f>
        <v>21</v>
      </c>
    </row>
    <row r="46" spans="1:75" x14ac:dyDescent="0.25">
      <c r="A46" s="37"/>
      <c r="D46" s="38" t="s">
        <v>135</v>
      </c>
      <c r="E46" s="39" t="s">
        <v>136</v>
      </c>
      <c r="G46" s="40">
        <v>3.129</v>
      </c>
      <c r="P46" s="41"/>
    </row>
    <row r="47" spans="1:75" ht="13.5" customHeight="1" x14ac:dyDescent="0.25">
      <c r="A47" s="2" t="s">
        <v>137</v>
      </c>
      <c r="B47" s="3" t="s">
        <v>51</v>
      </c>
      <c r="C47" s="3" t="s">
        <v>138</v>
      </c>
      <c r="D47" s="76" t="s">
        <v>139</v>
      </c>
      <c r="E47" s="77"/>
      <c r="F47" s="3" t="s">
        <v>127</v>
      </c>
      <c r="G47" s="34">
        <v>548.39</v>
      </c>
      <c r="H47" s="34"/>
      <c r="I47" s="35" t="s">
        <v>59</v>
      </c>
      <c r="J47" s="34">
        <f>G47*AO47</f>
        <v>0</v>
      </c>
      <c r="K47" s="34">
        <f>G47*AP47</f>
        <v>0</v>
      </c>
      <c r="L47" s="34">
        <f>G47*H47</f>
        <v>0</v>
      </c>
      <c r="M47" s="34">
        <f>L47*(1+BW47/100)</f>
        <v>0</v>
      </c>
      <c r="N47" s="34">
        <v>0</v>
      </c>
      <c r="O47" s="34">
        <f>G47*N47</f>
        <v>0</v>
      </c>
      <c r="P47" s="36" t="s">
        <v>779</v>
      </c>
      <c r="Z47" s="34">
        <f>IF(AQ47="5",BJ47,0)</f>
        <v>0</v>
      </c>
      <c r="AB47" s="34">
        <f>IF(AQ47="1",BH47,0)</f>
        <v>0</v>
      </c>
      <c r="AC47" s="34">
        <f>IF(AQ47="1",BI47,0)</f>
        <v>0</v>
      </c>
      <c r="AD47" s="34">
        <f>IF(AQ47="7",BH47,0)</f>
        <v>0</v>
      </c>
      <c r="AE47" s="34">
        <f>IF(AQ47="7",BI47,0)</f>
        <v>0</v>
      </c>
      <c r="AF47" s="34">
        <f>IF(AQ47="2",BH47,0)</f>
        <v>0</v>
      </c>
      <c r="AG47" s="34">
        <f>IF(AQ47="2",BI47,0)</f>
        <v>0</v>
      </c>
      <c r="AH47" s="34">
        <f>IF(AQ47="0",BJ47,0)</f>
        <v>0</v>
      </c>
      <c r="AI47" s="11" t="s">
        <v>51</v>
      </c>
      <c r="AJ47" s="34">
        <f>IF(AN47=0,L47,0)</f>
        <v>0</v>
      </c>
      <c r="AK47" s="34">
        <f>IF(AN47=12,L47,0)</f>
        <v>0</v>
      </c>
      <c r="AL47" s="34">
        <f>IF(AN47=21,L47,0)</f>
        <v>0</v>
      </c>
      <c r="AN47" s="34">
        <v>21</v>
      </c>
      <c r="AO47" s="34">
        <f>H47*0</f>
        <v>0</v>
      </c>
      <c r="AP47" s="34">
        <f>H47*(1-0)</f>
        <v>0</v>
      </c>
      <c r="AQ47" s="35" t="s">
        <v>55</v>
      </c>
      <c r="AV47" s="34">
        <f>AW47+AX47</f>
        <v>0</v>
      </c>
      <c r="AW47" s="34">
        <f>G47*AO47</f>
        <v>0</v>
      </c>
      <c r="AX47" s="34">
        <f>G47*AP47</f>
        <v>0</v>
      </c>
      <c r="AY47" s="35" t="s">
        <v>128</v>
      </c>
      <c r="AZ47" s="35" t="s">
        <v>61</v>
      </c>
      <c r="BA47" s="11" t="s">
        <v>62</v>
      </c>
      <c r="BC47" s="34">
        <f>AW47+AX47</f>
        <v>0</v>
      </c>
      <c r="BD47" s="34">
        <f>H47/(100-BE47)*100</f>
        <v>0</v>
      </c>
      <c r="BE47" s="34">
        <v>0</v>
      </c>
      <c r="BF47" s="34">
        <f>O47</f>
        <v>0</v>
      </c>
      <c r="BH47" s="34">
        <f>G47*AO47</f>
        <v>0</v>
      </c>
      <c r="BI47" s="34">
        <f>G47*AP47</f>
        <v>0</v>
      </c>
      <c r="BJ47" s="34">
        <f>G47*H47</f>
        <v>0</v>
      </c>
      <c r="BK47" s="34"/>
      <c r="BL47" s="34">
        <v>13</v>
      </c>
      <c r="BW47" s="34" t="str">
        <f>I47</f>
        <v>21</v>
      </c>
    </row>
    <row r="48" spans="1:75" x14ac:dyDescent="0.25">
      <c r="A48" s="37"/>
      <c r="D48" s="38" t="s">
        <v>140</v>
      </c>
      <c r="E48" s="39" t="s">
        <v>141</v>
      </c>
      <c r="G48" s="40">
        <v>548.39</v>
      </c>
      <c r="P48" s="41"/>
    </row>
    <row r="49" spans="1:75" x14ac:dyDescent="0.25">
      <c r="A49" s="30" t="s">
        <v>50</v>
      </c>
      <c r="B49" s="31" t="s">
        <v>51</v>
      </c>
      <c r="C49" s="31" t="s">
        <v>142</v>
      </c>
      <c r="D49" s="130" t="s">
        <v>143</v>
      </c>
      <c r="E49" s="131"/>
      <c r="F49" s="32" t="s">
        <v>3</v>
      </c>
      <c r="G49" s="32" t="s">
        <v>3</v>
      </c>
      <c r="H49" s="32"/>
      <c r="I49" s="32" t="s">
        <v>3</v>
      </c>
      <c r="J49" s="1">
        <f>SUM(J50:J54)</f>
        <v>0</v>
      </c>
      <c r="K49" s="1">
        <f>SUM(K50:K54)</f>
        <v>0</v>
      </c>
      <c r="L49" s="1">
        <f>SUM(L50:L54)</f>
        <v>0</v>
      </c>
      <c r="M49" s="1">
        <f>SUM(M50:M54)</f>
        <v>0</v>
      </c>
      <c r="N49" s="11" t="s">
        <v>50</v>
      </c>
      <c r="O49" s="1">
        <f>SUM(O50:O54)</f>
        <v>512.96400000000006</v>
      </c>
      <c r="P49" s="33" t="s">
        <v>50</v>
      </c>
      <c r="AI49" s="11" t="s">
        <v>51</v>
      </c>
      <c r="AS49" s="1">
        <f>SUM(AJ50:AJ54)</f>
        <v>0</v>
      </c>
      <c r="AT49" s="1">
        <f>SUM(AK50:AK54)</f>
        <v>0</v>
      </c>
      <c r="AU49" s="1">
        <f>SUM(AL50:AL54)</f>
        <v>0</v>
      </c>
    </row>
    <row r="50" spans="1:75" ht="13.5" customHeight="1" x14ac:dyDescent="0.25">
      <c r="A50" s="2" t="s">
        <v>142</v>
      </c>
      <c r="B50" s="3" t="s">
        <v>51</v>
      </c>
      <c r="C50" s="3" t="s">
        <v>144</v>
      </c>
      <c r="D50" s="76" t="s">
        <v>145</v>
      </c>
      <c r="E50" s="77"/>
      <c r="F50" s="3" t="s">
        <v>127</v>
      </c>
      <c r="G50" s="34">
        <v>284.98</v>
      </c>
      <c r="H50" s="34"/>
      <c r="I50" s="35" t="s">
        <v>59</v>
      </c>
      <c r="J50" s="34">
        <f>G50*AO50</f>
        <v>0</v>
      </c>
      <c r="K50" s="34">
        <f>G50*AP50</f>
        <v>0</v>
      </c>
      <c r="L50" s="34">
        <f>G50*H50</f>
        <v>0</v>
      </c>
      <c r="M50" s="34">
        <f>L50*(1+BW50/100)</f>
        <v>0</v>
      </c>
      <c r="N50" s="34">
        <v>0</v>
      </c>
      <c r="O50" s="34">
        <f>G50*N50</f>
        <v>0</v>
      </c>
      <c r="P50" s="36" t="s">
        <v>779</v>
      </c>
      <c r="Z50" s="34">
        <f>IF(AQ50="5",BJ50,0)</f>
        <v>0</v>
      </c>
      <c r="AB50" s="34">
        <f>IF(AQ50="1",BH50,0)</f>
        <v>0</v>
      </c>
      <c r="AC50" s="34">
        <f>IF(AQ50="1",BI50,0)</f>
        <v>0</v>
      </c>
      <c r="AD50" s="34">
        <f>IF(AQ50="7",BH50,0)</f>
        <v>0</v>
      </c>
      <c r="AE50" s="34">
        <f>IF(AQ50="7",BI50,0)</f>
        <v>0</v>
      </c>
      <c r="AF50" s="34">
        <f>IF(AQ50="2",BH50,0)</f>
        <v>0</v>
      </c>
      <c r="AG50" s="34">
        <f>IF(AQ50="2",BI50,0)</f>
        <v>0</v>
      </c>
      <c r="AH50" s="34">
        <f>IF(AQ50="0",BJ50,0)</f>
        <v>0</v>
      </c>
      <c r="AI50" s="11" t="s">
        <v>51</v>
      </c>
      <c r="AJ50" s="34">
        <f>IF(AN50=0,L50,0)</f>
        <v>0</v>
      </c>
      <c r="AK50" s="34">
        <f>IF(AN50=12,L50,0)</f>
        <v>0</v>
      </c>
      <c r="AL50" s="34">
        <f>IF(AN50=21,L50,0)</f>
        <v>0</v>
      </c>
      <c r="AN50" s="34">
        <v>21</v>
      </c>
      <c r="AO50" s="34">
        <f>H50*0</f>
        <v>0</v>
      </c>
      <c r="AP50" s="34">
        <f>H50*(1-0)</f>
        <v>0</v>
      </c>
      <c r="AQ50" s="35" t="s">
        <v>55</v>
      </c>
      <c r="AV50" s="34">
        <f>AW50+AX50</f>
        <v>0</v>
      </c>
      <c r="AW50" s="34">
        <f>G50*AO50</f>
        <v>0</v>
      </c>
      <c r="AX50" s="34">
        <f>G50*AP50</f>
        <v>0</v>
      </c>
      <c r="AY50" s="35" t="s">
        <v>146</v>
      </c>
      <c r="AZ50" s="35" t="s">
        <v>61</v>
      </c>
      <c r="BA50" s="11" t="s">
        <v>62</v>
      </c>
      <c r="BC50" s="34">
        <f>AW50+AX50</f>
        <v>0</v>
      </c>
      <c r="BD50" s="34">
        <f>H50/(100-BE50)*100</f>
        <v>0</v>
      </c>
      <c r="BE50" s="34">
        <v>0</v>
      </c>
      <c r="BF50" s="34">
        <f>O50</f>
        <v>0</v>
      </c>
      <c r="BH50" s="34">
        <f>G50*AO50</f>
        <v>0</v>
      </c>
      <c r="BI50" s="34">
        <f>G50*AP50</f>
        <v>0</v>
      </c>
      <c r="BJ50" s="34">
        <f>G50*H50</f>
        <v>0</v>
      </c>
      <c r="BK50" s="34"/>
      <c r="BL50" s="34">
        <v>17</v>
      </c>
      <c r="BW50" s="34" t="str">
        <f>I50</f>
        <v>21</v>
      </c>
    </row>
    <row r="51" spans="1:75" x14ac:dyDescent="0.25">
      <c r="A51" s="37"/>
      <c r="D51" s="38" t="s">
        <v>147</v>
      </c>
      <c r="E51" s="39" t="s">
        <v>148</v>
      </c>
      <c r="G51" s="40">
        <v>284.98</v>
      </c>
      <c r="P51" s="41"/>
    </row>
    <row r="52" spans="1:75" ht="13.5" customHeight="1" x14ac:dyDescent="0.25">
      <c r="A52" s="42" t="s">
        <v>149</v>
      </c>
      <c r="B52" s="43" t="s">
        <v>51</v>
      </c>
      <c r="C52" s="43" t="s">
        <v>150</v>
      </c>
      <c r="D52" s="135" t="s">
        <v>151</v>
      </c>
      <c r="E52" s="136"/>
      <c r="F52" s="43" t="s">
        <v>152</v>
      </c>
      <c r="G52" s="44">
        <v>512.96400000000006</v>
      </c>
      <c r="H52" s="44"/>
      <c r="I52" s="45" t="s">
        <v>59</v>
      </c>
      <c r="J52" s="44">
        <f>G52*AO52</f>
        <v>0</v>
      </c>
      <c r="K52" s="44">
        <f>G52*AP52</f>
        <v>0</v>
      </c>
      <c r="L52" s="44">
        <f>G52*H52</f>
        <v>0</v>
      </c>
      <c r="M52" s="44">
        <f>L52*(1+BW52/100)</f>
        <v>0</v>
      </c>
      <c r="N52" s="44">
        <v>1</v>
      </c>
      <c r="O52" s="44">
        <f>G52*N52</f>
        <v>512.96400000000006</v>
      </c>
      <c r="P52" s="46" t="s">
        <v>50</v>
      </c>
      <c r="Z52" s="34">
        <f>IF(AQ52="5",BJ52,0)</f>
        <v>0</v>
      </c>
      <c r="AB52" s="34">
        <f>IF(AQ52="1",BH52,0)</f>
        <v>0</v>
      </c>
      <c r="AC52" s="34">
        <f>IF(AQ52="1",BI52,0)</f>
        <v>0</v>
      </c>
      <c r="AD52" s="34">
        <f>IF(AQ52="7",BH52,0)</f>
        <v>0</v>
      </c>
      <c r="AE52" s="34">
        <f>IF(AQ52="7",BI52,0)</f>
        <v>0</v>
      </c>
      <c r="AF52" s="34">
        <f>IF(AQ52="2",BH52,0)</f>
        <v>0</v>
      </c>
      <c r="AG52" s="34">
        <f>IF(AQ52="2",BI52,0)</f>
        <v>0</v>
      </c>
      <c r="AH52" s="34">
        <f>IF(AQ52="0",BJ52,0)</f>
        <v>0</v>
      </c>
      <c r="AI52" s="11" t="s">
        <v>51</v>
      </c>
      <c r="AJ52" s="44">
        <f>IF(AN52=0,L52,0)</f>
        <v>0</v>
      </c>
      <c r="AK52" s="44">
        <f>IF(AN52=12,L52,0)</f>
        <v>0</v>
      </c>
      <c r="AL52" s="44">
        <f>IF(AN52=21,L52,0)</f>
        <v>0</v>
      </c>
      <c r="AN52" s="34">
        <v>21</v>
      </c>
      <c r="AO52" s="34">
        <f>H52*1</f>
        <v>0</v>
      </c>
      <c r="AP52" s="34">
        <f>H52*(1-1)</f>
        <v>0</v>
      </c>
      <c r="AQ52" s="45" t="s">
        <v>55</v>
      </c>
      <c r="AV52" s="34">
        <f>AW52+AX52</f>
        <v>0</v>
      </c>
      <c r="AW52" s="34">
        <f>G52*AO52</f>
        <v>0</v>
      </c>
      <c r="AX52" s="34">
        <f>G52*AP52</f>
        <v>0</v>
      </c>
      <c r="AY52" s="35" t="s">
        <v>146</v>
      </c>
      <c r="AZ52" s="35" t="s">
        <v>61</v>
      </c>
      <c r="BA52" s="11" t="s">
        <v>62</v>
      </c>
      <c r="BC52" s="34">
        <f>AW52+AX52</f>
        <v>0</v>
      </c>
      <c r="BD52" s="34">
        <f>H52/(100-BE52)*100</f>
        <v>0</v>
      </c>
      <c r="BE52" s="34">
        <v>0</v>
      </c>
      <c r="BF52" s="34">
        <f>O52</f>
        <v>512.96400000000006</v>
      </c>
      <c r="BH52" s="44">
        <f>G52*AO52</f>
        <v>0</v>
      </c>
      <c r="BI52" s="44">
        <f>G52*AP52</f>
        <v>0</v>
      </c>
      <c r="BJ52" s="44">
        <f>G52*H52</f>
        <v>0</v>
      </c>
      <c r="BK52" s="44"/>
      <c r="BL52" s="34">
        <v>17</v>
      </c>
      <c r="BW52" s="34" t="str">
        <f>I52</f>
        <v>21</v>
      </c>
    </row>
    <row r="53" spans="1:75" x14ac:dyDescent="0.25">
      <c r="A53" s="37"/>
      <c r="D53" s="38" t="s">
        <v>153</v>
      </c>
      <c r="E53" s="39" t="s">
        <v>154</v>
      </c>
      <c r="G53" s="40">
        <v>512.96400000000006</v>
      </c>
      <c r="P53" s="41"/>
    </row>
    <row r="54" spans="1:75" ht="13.5" customHeight="1" x14ac:dyDescent="0.25">
      <c r="A54" s="2" t="s">
        <v>155</v>
      </c>
      <c r="B54" s="3" t="s">
        <v>51</v>
      </c>
      <c r="C54" s="3" t="s">
        <v>156</v>
      </c>
      <c r="D54" s="76" t="s">
        <v>157</v>
      </c>
      <c r="E54" s="77"/>
      <c r="F54" s="3" t="s">
        <v>127</v>
      </c>
      <c r="G54" s="34">
        <v>2.3730000000000002</v>
      </c>
      <c r="H54" s="34"/>
      <c r="I54" s="35" t="s">
        <v>59</v>
      </c>
      <c r="J54" s="34">
        <f>G54*AO54</f>
        <v>0</v>
      </c>
      <c r="K54" s="34">
        <f>G54*AP54</f>
        <v>0</v>
      </c>
      <c r="L54" s="34">
        <f>G54*H54</f>
        <v>0</v>
      </c>
      <c r="M54" s="34">
        <f>L54*(1+BW54/100)</f>
        <v>0</v>
      </c>
      <c r="N54" s="34">
        <v>0</v>
      </c>
      <c r="O54" s="34">
        <f>G54*N54</f>
        <v>0</v>
      </c>
      <c r="P54" s="36" t="s">
        <v>779</v>
      </c>
      <c r="Z54" s="34">
        <f>IF(AQ54="5",BJ54,0)</f>
        <v>0</v>
      </c>
      <c r="AB54" s="34">
        <f>IF(AQ54="1",BH54,0)</f>
        <v>0</v>
      </c>
      <c r="AC54" s="34">
        <f>IF(AQ54="1",BI54,0)</f>
        <v>0</v>
      </c>
      <c r="AD54" s="34">
        <f>IF(AQ54="7",BH54,0)</f>
        <v>0</v>
      </c>
      <c r="AE54" s="34">
        <f>IF(AQ54="7",BI54,0)</f>
        <v>0</v>
      </c>
      <c r="AF54" s="34">
        <f>IF(AQ54="2",BH54,0)</f>
        <v>0</v>
      </c>
      <c r="AG54" s="34">
        <f>IF(AQ54="2",BI54,0)</f>
        <v>0</v>
      </c>
      <c r="AH54" s="34">
        <f>IF(AQ54="0",BJ54,0)</f>
        <v>0</v>
      </c>
      <c r="AI54" s="11" t="s">
        <v>51</v>
      </c>
      <c r="AJ54" s="34">
        <f>IF(AN54=0,L54,0)</f>
        <v>0</v>
      </c>
      <c r="AK54" s="34">
        <f>IF(AN54=12,L54,0)</f>
        <v>0</v>
      </c>
      <c r="AL54" s="34">
        <f>IF(AN54=21,L54,0)</f>
        <v>0</v>
      </c>
      <c r="AN54" s="34">
        <v>21</v>
      </c>
      <c r="AO54" s="34">
        <f>H54*0</f>
        <v>0</v>
      </c>
      <c r="AP54" s="34">
        <f>H54*(1-0)</f>
        <v>0</v>
      </c>
      <c r="AQ54" s="35" t="s">
        <v>55</v>
      </c>
      <c r="AV54" s="34">
        <f>AW54+AX54</f>
        <v>0</v>
      </c>
      <c r="AW54" s="34">
        <f>G54*AO54</f>
        <v>0</v>
      </c>
      <c r="AX54" s="34">
        <f>G54*AP54</f>
        <v>0</v>
      </c>
      <c r="AY54" s="35" t="s">
        <v>146</v>
      </c>
      <c r="AZ54" s="35" t="s">
        <v>61</v>
      </c>
      <c r="BA54" s="11" t="s">
        <v>62</v>
      </c>
      <c r="BC54" s="34">
        <f>AW54+AX54</f>
        <v>0</v>
      </c>
      <c r="BD54" s="34">
        <f>H54/(100-BE54)*100</f>
        <v>0</v>
      </c>
      <c r="BE54" s="34">
        <v>0</v>
      </c>
      <c r="BF54" s="34">
        <f>O54</f>
        <v>0</v>
      </c>
      <c r="BH54" s="34">
        <f>G54*AO54</f>
        <v>0</v>
      </c>
      <c r="BI54" s="34">
        <f>G54*AP54</f>
        <v>0</v>
      </c>
      <c r="BJ54" s="34">
        <f>G54*H54</f>
        <v>0</v>
      </c>
      <c r="BK54" s="34"/>
      <c r="BL54" s="34">
        <v>17</v>
      </c>
      <c r="BW54" s="34" t="str">
        <f>I54</f>
        <v>21</v>
      </c>
    </row>
    <row r="55" spans="1:75" x14ac:dyDescent="0.25">
      <c r="A55" s="37"/>
      <c r="D55" s="38" t="s">
        <v>158</v>
      </c>
      <c r="E55" s="39" t="s">
        <v>159</v>
      </c>
      <c r="G55" s="40">
        <v>2.3730000000000002</v>
      </c>
      <c r="P55" s="41"/>
    </row>
    <row r="56" spans="1:75" x14ac:dyDescent="0.25">
      <c r="A56" s="30" t="s">
        <v>50</v>
      </c>
      <c r="B56" s="31" t="s">
        <v>51</v>
      </c>
      <c r="C56" s="31" t="s">
        <v>149</v>
      </c>
      <c r="D56" s="130" t="s">
        <v>160</v>
      </c>
      <c r="E56" s="131"/>
      <c r="F56" s="32" t="s">
        <v>3</v>
      </c>
      <c r="G56" s="32" t="s">
        <v>3</v>
      </c>
      <c r="H56" s="32"/>
      <c r="I56" s="32" t="s">
        <v>3</v>
      </c>
      <c r="J56" s="1">
        <f>SUM(J57:J57)</f>
        <v>0</v>
      </c>
      <c r="K56" s="1">
        <f>SUM(K57:K57)</f>
        <v>0</v>
      </c>
      <c r="L56" s="1">
        <f>SUM(L57:L57)</f>
        <v>0</v>
      </c>
      <c r="M56" s="1">
        <f>SUM(M57:M57)</f>
        <v>0</v>
      </c>
      <c r="N56" s="11" t="s">
        <v>50</v>
      </c>
      <c r="O56" s="1">
        <f>SUM(O57:O57)</f>
        <v>0</v>
      </c>
      <c r="P56" s="33" t="s">
        <v>50</v>
      </c>
      <c r="AI56" s="11" t="s">
        <v>51</v>
      </c>
      <c r="AS56" s="1">
        <f>SUM(AJ57:AJ57)</f>
        <v>0</v>
      </c>
      <c r="AT56" s="1">
        <f>SUM(AK57:AK57)</f>
        <v>0</v>
      </c>
      <c r="AU56" s="1">
        <f>SUM(AL57:AL57)</f>
        <v>0</v>
      </c>
    </row>
    <row r="57" spans="1:75" ht="13.5" customHeight="1" x14ac:dyDescent="0.25">
      <c r="A57" s="2" t="s">
        <v>161</v>
      </c>
      <c r="B57" s="3" t="s">
        <v>51</v>
      </c>
      <c r="C57" s="3" t="s">
        <v>162</v>
      </c>
      <c r="D57" s="76" t="s">
        <v>163</v>
      </c>
      <c r="E57" s="77"/>
      <c r="F57" s="3" t="s">
        <v>58</v>
      </c>
      <c r="G57" s="34">
        <v>849.94100000000003</v>
      </c>
      <c r="H57" s="34"/>
      <c r="I57" s="35" t="s">
        <v>59</v>
      </c>
      <c r="J57" s="34">
        <f>G57*AO57</f>
        <v>0</v>
      </c>
      <c r="K57" s="34">
        <f>G57*AP57</f>
        <v>0</v>
      </c>
      <c r="L57" s="34">
        <f>G57*H57</f>
        <v>0</v>
      </c>
      <c r="M57" s="34">
        <f>L57*(1+BW57/100)</f>
        <v>0</v>
      </c>
      <c r="N57" s="34">
        <v>0</v>
      </c>
      <c r="O57" s="34">
        <f>G57*N57</f>
        <v>0</v>
      </c>
      <c r="P57" s="36" t="s">
        <v>779</v>
      </c>
      <c r="Z57" s="34">
        <f>IF(AQ57="5",BJ57,0)</f>
        <v>0</v>
      </c>
      <c r="AB57" s="34">
        <f>IF(AQ57="1",BH57,0)</f>
        <v>0</v>
      </c>
      <c r="AC57" s="34">
        <f>IF(AQ57="1",BI57,0)</f>
        <v>0</v>
      </c>
      <c r="AD57" s="34">
        <f>IF(AQ57="7",BH57,0)</f>
        <v>0</v>
      </c>
      <c r="AE57" s="34">
        <f>IF(AQ57="7",BI57,0)</f>
        <v>0</v>
      </c>
      <c r="AF57" s="34">
        <f>IF(AQ57="2",BH57,0)</f>
        <v>0</v>
      </c>
      <c r="AG57" s="34">
        <f>IF(AQ57="2",BI57,0)</f>
        <v>0</v>
      </c>
      <c r="AH57" s="34">
        <f>IF(AQ57="0",BJ57,0)</f>
        <v>0</v>
      </c>
      <c r="AI57" s="11" t="s">
        <v>51</v>
      </c>
      <c r="AJ57" s="34">
        <f>IF(AN57=0,L57,0)</f>
        <v>0</v>
      </c>
      <c r="AK57" s="34">
        <f>IF(AN57=12,L57,0)</f>
        <v>0</v>
      </c>
      <c r="AL57" s="34">
        <f>IF(AN57=21,L57,0)</f>
        <v>0</v>
      </c>
      <c r="AN57" s="34">
        <v>21</v>
      </c>
      <c r="AO57" s="34">
        <f>H57*0</f>
        <v>0</v>
      </c>
      <c r="AP57" s="34">
        <f>H57*(1-0)</f>
        <v>0</v>
      </c>
      <c r="AQ57" s="35" t="s">
        <v>55</v>
      </c>
      <c r="AV57" s="34">
        <f>AW57+AX57</f>
        <v>0</v>
      </c>
      <c r="AW57" s="34">
        <f>G57*AO57</f>
        <v>0</v>
      </c>
      <c r="AX57" s="34">
        <f>G57*AP57</f>
        <v>0</v>
      </c>
      <c r="AY57" s="35" t="s">
        <v>164</v>
      </c>
      <c r="AZ57" s="35" t="s">
        <v>61</v>
      </c>
      <c r="BA57" s="11" t="s">
        <v>62</v>
      </c>
      <c r="BC57" s="34">
        <f>AW57+AX57</f>
        <v>0</v>
      </c>
      <c r="BD57" s="34">
        <f>H57/(100-BE57)*100</f>
        <v>0</v>
      </c>
      <c r="BE57" s="34">
        <v>0</v>
      </c>
      <c r="BF57" s="34">
        <f>O57</f>
        <v>0</v>
      </c>
      <c r="BH57" s="34">
        <f>G57*AO57</f>
        <v>0</v>
      </c>
      <c r="BI57" s="34">
        <f>G57*AP57</f>
        <v>0</v>
      </c>
      <c r="BJ57" s="34">
        <f>G57*H57</f>
        <v>0</v>
      </c>
      <c r="BK57" s="34"/>
      <c r="BL57" s="34">
        <v>18</v>
      </c>
      <c r="BW57" s="34" t="str">
        <f>I57</f>
        <v>21</v>
      </c>
    </row>
    <row r="58" spans="1:75" x14ac:dyDescent="0.25">
      <c r="A58" s="37"/>
      <c r="D58" s="38" t="s">
        <v>165</v>
      </c>
      <c r="E58" s="39" t="s">
        <v>166</v>
      </c>
      <c r="G58" s="40">
        <v>667.61900000000003</v>
      </c>
      <c r="P58" s="41"/>
    </row>
    <row r="59" spans="1:75" x14ac:dyDescent="0.25">
      <c r="A59" s="37"/>
      <c r="D59" s="38" t="s">
        <v>167</v>
      </c>
      <c r="E59" s="39" t="s">
        <v>168</v>
      </c>
      <c r="G59" s="40">
        <v>182.322</v>
      </c>
      <c r="P59" s="41"/>
    </row>
    <row r="60" spans="1:75" x14ac:dyDescent="0.25">
      <c r="A60" s="30" t="s">
        <v>50</v>
      </c>
      <c r="B60" s="31" t="s">
        <v>51</v>
      </c>
      <c r="C60" s="31" t="s">
        <v>59</v>
      </c>
      <c r="D60" s="130" t="s">
        <v>169</v>
      </c>
      <c r="E60" s="131"/>
      <c r="F60" s="32" t="s">
        <v>3</v>
      </c>
      <c r="G60" s="32" t="s">
        <v>3</v>
      </c>
      <c r="H60" s="32"/>
      <c r="I60" s="32" t="s">
        <v>3</v>
      </c>
      <c r="J60" s="1">
        <f>SUM(J61:J66)</f>
        <v>0</v>
      </c>
      <c r="K60" s="1">
        <f>SUM(K61:K66)</f>
        <v>0</v>
      </c>
      <c r="L60" s="1">
        <f>SUM(L61:L66)</f>
        <v>0</v>
      </c>
      <c r="M60" s="1">
        <f>SUM(M61:M66)</f>
        <v>0</v>
      </c>
      <c r="N60" s="11" t="s">
        <v>50</v>
      </c>
      <c r="O60" s="1">
        <f>SUM(O61:O66)</f>
        <v>35.423465159999992</v>
      </c>
      <c r="P60" s="33" t="s">
        <v>50</v>
      </c>
      <c r="AI60" s="11" t="s">
        <v>51</v>
      </c>
      <c r="AS60" s="1">
        <f>SUM(AJ61:AJ66)</f>
        <v>0</v>
      </c>
      <c r="AT60" s="1">
        <f>SUM(AK61:AK66)</f>
        <v>0</v>
      </c>
      <c r="AU60" s="1">
        <f>SUM(AL61:AL66)</f>
        <v>0</v>
      </c>
    </row>
    <row r="61" spans="1:75" ht="13.5" customHeight="1" x14ac:dyDescent="0.25">
      <c r="A61" s="2" t="s">
        <v>59</v>
      </c>
      <c r="B61" s="3" t="s">
        <v>51</v>
      </c>
      <c r="C61" s="3" t="s">
        <v>170</v>
      </c>
      <c r="D61" s="76" t="s">
        <v>171</v>
      </c>
      <c r="E61" s="77"/>
      <c r="F61" s="3" t="s">
        <v>115</v>
      </c>
      <c r="G61" s="34">
        <v>80.849999999999994</v>
      </c>
      <c r="H61" s="34"/>
      <c r="I61" s="35" t="s">
        <v>59</v>
      </c>
      <c r="J61" s="34">
        <f>G61*AO61</f>
        <v>0</v>
      </c>
      <c r="K61" s="34">
        <f>G61*AP61</f>
        <v>0</v>
      </c>
      <c r="L61" s="34">
        <f>G61*H61</f>
        <v>0</v>
      </c>
      <c r="M61" s="34">
        <f>L61*(1+BW61/100)</f>
        <v>0</v>
      </c>
      <c r="N61" s="34">
        <v>0.43698999999999999</v>
      </c>
      <c r="O61" s="34">
        <f>G61*N61</f>
        <v>35.330641499999999</v>
      </c>
      <c r="P61" s="36" t="s">
        <v>779</v>
      </c>
      <c r="Z61" s="34">
        <f>IF(AQ61="5",BJ61,0)</f>
        <v>0</v>
      </c>
      <c r="AB61" s="34">
        <f>IF(AQ61="1",BH61,0)</f>
        <v>0</v>
      </c>
      <c r="AC61" s="34">
        <f>IF(AQ61="1",BI61,0)</f>
        <v>0</v>
      </c>
      <c r="AD61" s="34">
        <f>IF(AQ61="7",BH61,0)</f>
        <v>0</v>
      </c>
      <c r="AE61" s="34">
        <f>IF(AQ61="7",BI61,0)</f>
        <v>0</v>
      </c>
      <c r="AF61" s="34">
        <f>IF(AQ61="2",BH61,0)</f>
        <v>0</v>
      </c>
      <c r="AG61" s="34">
        <f>IF(AQ61="2",BI61,0)</f>
        <v>0</v>
      </c>
      <c r="AH61" s="34">
        <f>IF(AQ61="0",BJ61,0)</f>
        <v>0</v>
      </c>
      <c r="AI61" s="11" t="s">
        <v>51</v>
      </c>
      <c r="AJ61" s="34">
        <f>IF(AN61=0,L61,0)</f>
        <v>0</v>
      </c>
      <c r="AK61" s="34">
        <f>IF(AN61=12,L61,0)</f>
        <v>0</v>
      </c>
      <c r="AL61" s="34">
        <f>IF(AN61=21,L61,0)</f>
        <v>0</v>
      </c>
      <c r="AN61" s="34">
        <v>21</v>
      </c>
      <c r="AO61" s="34">
        <f>H61*0.583066864</f>
        <v>0</v>
      </c>
      <c r="AP61" s="34">
        <f>H61*(1-0.583066864)</f>
        <v>0</v>
      </c>
      <c r="AQ61" s="35" t="s">
        <v>55</v>
      </c>
      <c r="AV61" s="34">
        <f>AW61+AX61</f>
        <v>0</v>
      </c>
      <c r="AW61" s="34">
        <f>G61*AO61</f>
        <v>0</v>
      </c>
      <c r="AX61" s="34">
        <f>G61*AP61</f>
        <v>0</v>
      </c>
      <c r="AY61" s="35" t="s">
        <v>172</v>
      </c>
      <c r="AZ61" s="35" t="s">
        <v>173</v>
      </c>
      <c r="BA61" s="11" t="s">
        <v>62</v>
      </c>
      <c r="BC61" s="34">
        <f>AW61+AX61</f>
        <v>0</v>
      </c>
      <c r="BD61" s="34">
        <f>H61/(100-BE61)*100</f>
        <v>0</v>
      </c>
      <c r="BE61" s="34">
        <v>0</v>
      </c>
      <c r="BF61" s="34">
        <f>O61</f>
        <v>35.330641499999999</v>
      </c>
      <c r="BH61" s="34">
        <f>G61*AO61</f>
        <v>0</v>
      </c>
      <c r="BI61" s="34">
        <f>G61*AP61</f>
        <v>0</v>
      </c>
      <c r="BJ61" s="34">
        <f>G61*H61</f>
        <v>0</v>
      </c>
      <c r="BK61" s="34"/>
      <c r="BL61" s="34">
        <v>21</v>
      </c>
      <c r="BW61" s="34" t="str">
        <f>I61</f>
        <v>21</v>
      </c>
    </row>
    <row r="62" spans="1:75" ht="13.5" customHeight="1" x14ac:dyDescent="0.25">
      <c r="A62" s="37"/>
      <c r="D62" s="132" t="s">
        <v>174</v>
      </c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4"/>
    </row>
    <row r="63" spans="1:75" x14ac:dyDescent="0.25">
      <c r="A63" s="37"/>
      <c r="D63" s="38" t="s">
        <v>175</v>
      </c>
      <c r="E63" s="39" t="s">
        <v>176</v>
      </c>
      <c r="G63" s="40">
        <v>80.849999999999994</v>
      </c>
      <c r="P63" s="41"/>
    </row>
    <row r="64" spans="1:75" ht="13.5" customHeight="1" x14ac:dyDescent="0.25">
      <c r="A64" s="2" t="s">
        <v>177</v>
      </c>
      <c r="B64" s="3" t="s">
        <v>51</v>
      </c>
      <c r="C64" s="3" t="s">
        <v>178</v>
      </c>
      <c r="D64" s="76" t="s">
        <v>179</v>
      </c>
      <c r="E64" s="77"/>
      <c r="F64" s="3" t="s">
        <v>58</v>
      </c>
      <c r="G64" s="34">
        <v>173.827</v>
      </c>
      <c r="H64" s="34"/>
      <c r="I64" s="35" t="s">
        <v>59</v>
      </c>
      <c r="J64" s="34">
        <f>G64*AO64</f>
        <v>0</v>
      </c>
      <c r="K64" s="34">
        <f>G64*AP64</f>
        <v>0</v>
      </c>
      <c r="L64" s="34">
        <f>G64*H64</f>
        <v>0</v>
      </c>
      <c r="M64" s="34">
        <f>L64*(1+BW64/100)</f>
        <v>0</v>
      </c>
      <c r="N64" s="34">
        <v>1.8000000000000001E-4</v>
      </c>
      <c r="O64" s="34">
        <f>G64*N64</f>
        <v>3.1288860000000002E-2</v>
      </c>
      <c r="P64" s="36" t="s">
        <v>779</v>
      </c>
      <c r="Z64" s="34">
        <f>IF(AQ64="5",BJ64,0)</f>
        <v>0</v>
      </c>
      <c r="AB64" s="34">
        <f>IF(AQ64="1",BH64,0)</f>
        <v>0</v>
      </c>
      <c r="AC64" s="34">
        <f>IF(AQ64="1",BI64,0)</f>
        <v>0</v>
      </c>
      <c r="AD64" s="34">
        <f>IF(AQ64="7",BH64,0)</f>
        <v>0</v>
      </c>
      <c r="AE64" s="34">
        <f>IF(AQ64="7",BI64,0)</f>
        <v>0</v>
      </c>
      <c r="AF64" s="34">
        <f>IF(AQ64="2",BH64,0)</f>
        <v>0</v>
      </c>
      <c r="AG64" s="34">
        <f>IF(AQ64="2",BI64,0)</f>
        <v>0</v>
      </c>
      <c r="AH64" s="34">
        <f>IF(AQ64="0",BJ64,0)</f>
        <v>0</v>
      </c>
      <c r="AI64" s="11" t="s">
        <v>51</v>
      </c>
      <c r="AJ64" s="34">
        <f>IF(AN64=0,L64,0)</f>
        <v>0</v>
      </c>
      <c r="AK64" s="34">
        <f>IF(AN64=12,L64,0)</f>
        <v>0</v>
      </c>
      <c r="AL64" s="34">
        <f>IF(AN64=21,L64,0)</f>
        <v>0</v>
      </c>
      <c r="AN64" s="34">
        <v>21</v>
      </c>
      <c r="AO64" s="34">
        <f>H64*0.092624094</f>
        <v>0</v>
      </c>
      <c r="AP64" s="34">
        <f>H64*(1-0.092624094)</f>
        <v>0</v>
      </c>
      <c r="AQ64" s="35" t="s">
        <v>55</v>
      </c>
      <c r="AV64" s="34">
        <f>AW64+AX64</f>
        <v>0</v>
      </c>
      <c r="AW64" s="34">
        <f>G64*AO64</f>
        <v>0</v>
      </c>
      <c r="AX64" s="34">
        <f>G64*AP64</f>
        <v>0</v>
      </c>
      <c r="AY64" s="35" t="s">
        <v>172</v>
      </c>
      <c r="AZ64" s="35" t="s">
        <v>173</v>
      </c>
      <c r="BA64" s="11" t="s">
        <v>62</v>
      </c>
      <c r="BC64" s="34">
        <f>AW64+AX64</f>
        <v>0</v>
      </c>
      <c r="BD64" s="34">
        <f>H64/(100-BE64)*100</f>
        <v>0</v>
      </c>
      <c r="BE64" s="34">
        <v>0</v>
      </c>
      <c r="BF64" s="34">
        <f>O64</f>
        <v>3.1288860000000002E-2</v>
      </c>
      <c r="BH64" s="34">
        <f>G64*AO64</f>
        <v>0</v>
      </c>
      <c r="BI64" s="34">
        <f>G64*AP64</f>
        <v>0</v>
      </c>
      <c r="BJ64" s="34">
        <f>G64*H64</f>
        <v>0</v>
      </c>
      <c r="BK64" s="34"/>
      <c r="BL64" s="34">
        <v>21</v>
      </c>
      <c r="BW64" s="34" t="str">
        <f>I64</f>
        <v>21</v>
      </c>
    </row>
    <row r="65" spans="1:75" x14ac:dyDescent="0.25">
      <c r="A65" s="37"/>
      <c r="D65" s="38" t="s">
        <v>180</v>
      </c>
      <c r="E65" s="39" t="s">
        <v>50</v>
      </c>
      <c r="G65" s="40">
        <v>173.827</v>
      </c>
      <c r="P65" s="41"/>
    </row>
    <row r="66" spans="1:75" ht="13.5" customHeight="1" x14ac:dyDescent="0.25">
      <c r="A66" s="42" t="s">
        <v>181</v>
      </c>
      <c r="B66" s="43" t="s">
        <v>51</v>
      </c>
      <c r="C66" s="43" t="s">
        <v>182</v>
      </c>
      <c r="D66" s="135" t="s">
        <v>183</v>
      </c>
      <c r="E66" s="136"/>
      <c r="F66" s="43" t="s">
        <v>58</v>
      </c>
      <c r="G66" s="44">
        <v>205.11600000000001</v>
      </c>
      <c r="H66" s="44"/>
      <c r="I66" s="45" t="s">
        <v>59</v>
      </c>
      <c r="J66" s="44">
        <f>G66*AO66</f>
        <v>0</v>
      </c>
      <c r="K66" s="44">
        <f>G66*AP66</f>
        <v>0</v>
      </c>
      <c r="L66" s="44">
        <f>G66*H66</f>
        <v>0</v>
      </c>
      <c r="M66" s="44">
        <f>L66*(1+BW66/100)</f>
        <v>0</v>
      </c>
      <c r="N66" s="44">
        <v>2.9999999999999997E-4</v>
      </c>
      <c r="O66" s="44">
        <f>G66*N66</f>
        <v>6.1534800000000001E-2</v>
      </c>
      <c r="P66" s="46" t="s">
        <v>779</v>
      </c>
      <c r="Z66" s="34">
        <f>IF(AQ66="5",BJ66,0)</f>
        <v>0</v>
      </c>
      <c r="AB66" s="34">
        <f>IF(AQ66="1",BH66,0)</f>
        <v>0</v>
      </c>
      <c r="AC66" s="34">
        <f>IF(AQ66="1",BI66,0)</f>
        <v>0</v>
      </c>
      <c r="AD66" s="34">
        <f>IF(AQ66="7",BH66,0)</f>
        <v>0</v>
      </c>
      <c r="AE66" s="34">
        <f>IF(AQ66="7",BI66,0)</f>
        <v>0</v>
      </c>
      <c r="AF66" s="34">
        <f>IF(AQ66="2",BH66,0)</f>
        <v>0</v>
      </c>
      <c r="AG66" s="34">
        <f>IF(AQ66="2",BI66,0)</f>
        <v>0</v>
      </c>
      <c r="AH66" s="34">
        <f>IF(AQ66="0",BJ66,0)</f>
        <v>0</v>
      </c>
      <c r="AI66" s="11" t="s">
        <v>51</v>
      </c>
      <c r="AJ66" s="44">
        <f>IF(AN66=0,L66,0)</f>
        <v>0</v>
      </c>
      <c r="AK66" s="44">
        <f>IF(AN66=12,L66,0)</f>
        <v>0</v>
      </c>
      <c r="AL66" s="44">
        <f>IF(AN66=21,L66,0)</f>
        <v>0</v>
      </c>
      <c r="AN66" s="34">
        <v>21</v>
      </c>
      <c r="AO66" s="34">
        <f>H66*1</f>
        <v>0</v>
      </c>
      <c r="AP66" s="34">
        <f>H66*(1-1)</f>
        <v>0</v>
      </c>
      <c r="AQ66" s="45" t="s">
        <v>55</v>
      </c>
      <c r="AV66" s="34">
        <f>AW66+AX66</f>
        <v>0</v>
      </c>
      <c r="AW66" s="34">
        <f>G66*AO66</f>
        <v>0</v>
      </c>
      <c r="AX66" s="34">
        <f>G66*AP66</f>
        <v>0</v>
      </c>
      <c r="AY66" s="35" t="s">
        <v>172</v>
      </c>
      <c r="AZ66" s="35" t="s">
        <v>173</v>
      </c>
      <c r="BA66" s="11" t="s">
        <v>62</v>
      </c>
      <c r="BC66" s="34">
        <f>AW66+AX66</f>
        <v>0</v>
      </c>
      <c r="BD66" s="34">
        <f>H66/(100-BE66)*100</f>
        <v>0</v>
      </c>
      <c r="BE66" s="34">
        <v>0</v>
      </c>
      <c r="BF66" s="34">
        <f>O66</f>
        <v>6.1534800000000001E-2</v>
      </c>
      <c r="BH66" s="44">
        <f>G66*AO66</f>
        <v>0</v>
      </c>
      <c r="BI66" s="44">
        <f>G66*AP66</f>
        <v>0</v>
      </c>
      <c r="BJ66" s="44">
        <f>G66*H66</f>
        <v>0</v>
      </c>
      <c r="BK66" s="44"/>
      <c r="BL66" s="34">
        <v>21</v>
      </c>
      <c r="BW66" s="34" t="str">
        <f>I66</f>
        <v>21</v>
      </c>
    </row>
    <row r="67" spans="1:75" x14ac:dyDescent="0.25">
      <c r="A67" s="37"/>
      <c r="D67" s="38" t="s">
        <v>184</v>
      </c>
      <c r="E67" s="39" t="s">
        <v>50</v>
      </c>
      <c r="G67" s="40">
        <v>173.827</v>
      </c>
      <c r="P67" s="41"/>
    </row>
    <row r="68" spans="1:75" x14ac:dyDescent="0.25">
      <c r="A68" s="37"/>
      <c r="D68" s="38" t="s">
        <v>185</v>
      </c>
      <c r="E68" s="39" t="s">
        <v>50</v>
      </c>
      <c r="G68" s="40">
        <v>31.289000000000001</v>
      </c>
      <c r="P68" s="41"/>
    </row>
    <row r="69" spans="1:75" x14ac:dyDescent="0.25">
      <c r="A69" s="30" t="s">
        <v>50</v>
      </c>
      <c r="B69" s="31" t="s">
        <v>51</v>
      </c>
      <c r="C69" s="31" t="s">
        <v>186</v>
      </c>
      <c r="D69" s="130" t="s">
        <v>187</v>
      </c>
      <c r="E69" s="131"/>
      <c r="F69" s="32" t="s">
        <v>3</v>
      </c>
      <c r="G69" s="32" t="s">
        <v>3</v>
      </c>
      <c r="H69" s="32"/>
      <c r="I69" s="32" t="s">
        <v>3</v>
      </c>
      <c r="J69" s="1">
        <f>SUM(J70:J74)</f>
        <v>0</v>
      </c>
      <c r="K69" s="1">
        <f>SUM(K70:K74)</f>
        <v>0</v>
      </c>
      <c r="L69" s="1">
        <f>SUM(L70:L74)</f>
        <v>0</v>
      </c>
      <c r="M69" s="1">
        <f>SUM(M70:M74)</f>
        <v>0</v>
      </c>
      <c r="N69" s="11" t="s">
        <v>50</v>
      </c>
      <c r="O69" s="1">
        <f>SUM(O70:O74)</f>
        <v>3.8892880000000001</v>
      </c>
      <c r="P69" s="33" t="s">
        <v>50</v>
      </c>
      <c r="AI69" s="11" t="s">
        <v>51</v>
      </c>
      <c r="AS69" s="1">
        <f>SUM(AJ70:AJ74)</f>
        <v>0</v>
      </c>
      <c r="AT69" s="1">
        <f>SUM(AK70:AK74)</f>
        <v>0</v>
      </c>
      <c r="AU69" s="1">
        <f>SUM(AL70:AL74)</f>
        <v>0</v>
      </c>
    </row>
    <row r="70" spans="1:75" ht="13.5" customHeight="1" x14ac:dyDescent="0.25">
      <c r="A70" s="2" t="s">
        <v>188</v>
      </c>
      <c r="B70" s="3" t="s">
        <v>51</v>
      </c>
      <c r="C70" s="3" t="s">
        <v>189</v>
      </c>
      <c r="D70" s="76" t="s">
        <v>190</v>
      </c>
      <c r="E70" s="77"/>
      <c r="F70" s="3" t="s">
        <v>127</v>
      </c>
      <c r="G70" s="34">
        <v>1.54</v>
      </c>
      <c r="H70" s="34"/>
      <c r="I70" s="35" t="s">
        <v>59</v>
      </c>
      <c r="J70" s="34">
        <f>G70*AO70</f>
        <v>0</v>
      </c>
      <c r="K70" s="34">
        <f>G70*AP70</f>
        <v>0</v>
      </c>
      <c r="L70" s="34">
        <f>G70*H70</f>
        <v>0</v>
      </c>
      <c r="M70" s="34">
        <f>L70*(1+BW70/100)</f>
        <v>0</v>
      </c>
      <c r="N70" s="34">
        <v>2.5249999999999999</v>
      </c>
      <c r="O70" s="34">
        <f>G70*N70</f>
        <v>3.8885000000000001</v>
      </c>
      <c r="P70" s="36" t="s">
        <v>779</v>
      </c>
      <c r="Z70" s="34">
        <f>IF(AQ70="5",BJ70,0)</f>
        <v>0</v>
      </c>
      <c r="AB70" s="34">
        <f>IF(AQ70="1",BH70,0)</f>
        <v>0</v>
      </c>
      <c r="AC70" s="34">
        <f>IF(AQ70="1",BI70,0)</f>
        <v>0</v>
      </c>
      <c r="AD70" s="34">
        <f>IF(AQ70="7",BH70,0)</f>
        <v>0</v>
      </c>
      <c r="AE70" s="34">
        <f>IF(AQ70="7",BI70,0)</f>
        <v>0</v>
      </c>
      <c r="AF70" s="34">
        <f>IF(AQ70="2",BH70,0)</f>
        <v>0</v>
      </c>
      <c r="AG70" s="34">
        <f>IF(AQ70="2",BI70,0)</f>
        <v>0</v>
      </c>
      <c r="AH70" s="34">
        <f>IF(AQ70="0",BJ70,0)</f>
        <v>0</v>
      </c>
      <c r="AI70" s="11" t="s">
        <v>51</v>
      </c>
      <c r="AJ70" s="34">
        <f>IF(AN70=0,L70,0)</f>
        <v>0</v>
      </c>
      <c r="AK70" s="34">
        <f>IF(AN70=12,L70,0)</f>
        <v>0</v>
      </c>
      <c r="AL70" s="34">
        <f>IF(AN70=21,L70,0)</f>
        <v>0</v>
      </c>
      <c r="AN70" s="34">
        <v>21</v>
      </c>
      <c r="AO70" s="34">
        <f>H70*0.937384804</f>
        <v>0</v>
      </c>
      <c r="AP70" s="34">
        <f>H70*(1-0.937384804)</f>
        <v>0</v>
      </c>
      <c r="AQ70" s="35" t="s">
        <v>55</v>
      </c>
      <c r="AV70" s="34">
        <f>AW70+AX70</f>
        <v>0</v>
      </c>
      <c r="AW70" s="34">
        <f>G70*AO70</f>
        <v>0</v>
      </c>
      <c r="AX70" s="34">
        <f>G70*AP70</f>
        <v>0</v>
      </c>
      <c r="AY70" s="35" t="s">
        <v>191</v>
      </c>
      <c r="AZ70" s="35" t="s">
        <v>173</v>
      </c>
      <c r="BA70" s="11" t="s">
        <v>62</v>
      </c>
      <c r="BC70" s="34">
        <f>AW70+AX70</f>
        <v>0</v>
      </c>
      <c r="BD70" s="34">
        <f>H70/(100-BE70)*100</f>
        <v>0</v>
      </c>
      <c r="BE70" s="34">
        <v>0</v>
      </c>
      <c r="BF70" s="34">
        <f>O70</f>
        <v>3.8885000000000001</v>
      </c>
      <c r="BH70" s="34">
        <f>G70*AO70</f>
        <v>0</v>
      </c>
      <c r="BI70" s="34">
        <f>G70*AP70</f>
        <v>0</v>
      </c>
      <c r="BJ70" s="34">
        <f>G70*H70</f>
        <v>0</v>
      </c>
      <c r="BK70" s="34"/>
      <c r="BL70" s="34">
        <v>27</v>
      </c>
      <c r="BW70" s="34" t="str">
        <f>I70</f>
        <v>21</v>
      </c>
    </row>
    <row r="71" spans="1:75" x14ac:dyDescent="0.25">
      <c r="A71" s="37"/>
      <c r="D71" s="38" t="s">
        <v>192</v>
      </c>
      <c r="E71" s="39" t="s">
        <v>193</v>
      </c>
      <c r="G71" s="40">
        <v>1.54</v>
      </c>
      <c r="P71" s="41"/>
    </row>
    <row r="72" spans="1:75" ht="13.5" customHeight="1" x14ac:dyDescent="0.25">
      <c r="A72" s="2" t="s">
        <v>194</v>
      </c>
      <c r="B72" s="3" t="s">
        <v>51</v>
      </c>
      <c r="C72" s="3" t="s">
        <v>195</v>
      </c>
      <c r="D72" s="76" t="s">
        <v>196</v>
      </c>
      <c r="E72" s="77"/>
      <c r="F72" s="3" t="s">
        <v>58</v>
      </c>
      <c r="G72" s="34">
        <v>3.94</v>
      </c>
      <c r="H72" s="34"/>
      <c r="I72" s="35" t="s">
        <v>59</v>
      </c>
      <c r="J72" s="34">
        <f>G72*AO72</f>
        <v>0</v>
      </c>
      <c r="K72" s="34">
        <f>G72*AP72</f>
        <v>0</v>
      </c>
      <c r="L72" s="34">
        <f>G72*H72</f>
        <v>0</v>
      </c>
      <c r="M72" s="34">
        <f>L72*(1+BW72/100)</f>
        <v>0</v>
      </c>
      <c r="N72" s="34">
        <v>2.0000000000000001E-4</v>
      </c>
      <c r="O72" s="34">
        <f>G72*N72</f>
        <v>7.8800000000000007E-4</v>
      </c>
      <c r="P72" s="36" t="s">
        <v>779</v>
      </c>
      <c r="Z72" s="34">
        <f>IF(AQ72="5",BJ72,0)</f>
        <v>0</v>
      </c>
      <c r="AB72" s="34">
        <f>IF(AQ72="1",BH72,0)</f>
        <v>0</v>
      </c>
      <c r="AC72" s="34">
        <f>IF(AQ72="1",BI72,0)</f>
        <v>0</v>
      </c>
      <c r="AD72" s="34">
        <f>IF(AQ72="7",BH72,0)</f>
        <v>0</v>
      </c>
      <c r="AE72" s="34">
        <f>IF(AQ72="7",BI72,0)</f>
        <v>0</v>
      </c>
      <c r="AF72" s="34">
        <f>IF(AQ72="2",BH72,0)</f>
        <v>0</v>
      </c>
      <c r="AG72" s="34">
        <f>IF(AQ72="2",BI72,0)</f>
        <v>0</v>
      </c>
      <c r="AH72" s="34">
        <f>IF(AQ72="0",BJ72,0)</f>
        <v>0</v>
      </c>
      <c r="AI72" s="11" t="s">
        <v>51</v>
      </c>
      <c r="AJ72" s="34">
        <f>IF(AN72=0,L72,0)</f>
        <v>0</v>
      </c>
      <c r="AK72" s="34">
        <f>IF(AN72=12,L72,0)</f>
        <v>0</v>
      </c>
      <c r="AL72" s="34">
        <f>IF(AN72=21,L72,0)</f>
        <v>0</v>
      </c>
      <c r="AN72" s="34">
        <v>21</v>
      </c>
      <c r="AO72" s="34">
        <f>H72*0.030070259</f>
        <v>0</v>
      </c>
      <c r="AP72" s="34">
        <f>H72*(1-0.030070259)</f>
        <v>0</v>
      </c>
      <c r="AQ72" s="35" t="s">
        <v>55</v>
      </c>
      <c r="AV72" s="34">
        <f>AW72+AX72</f>
        <v>0</v>
      </c>
      <c r="AW72" s="34">
        <f>G72*AO72</f>
        <v>0</v>
      </c>
      <c r="AX72" s="34">
        <f>G72*AP72</f>
        <v>0</v>
      </c>
      <c r="AY72" s="35" t="s">
        <v>191</v>
      </c>
      <c r="AZ72" s="35" t="s">
        <v>173</v>
      </c>
      <c r="BA72" s="11" t="s">
        <v>62</v>
      </c>
      <c r="BC72" s="34">
        <f>AW72+AX72</f>
        <v>0</v>
      </c>
      <c r="BD72" s="34">
        <f>H72/(100-BE72)*100</f>
        <v>0</v>
      </c>
      <c r="BE72" s="34">
        <v>0</v>
      </c>
      <c r="BF72" s="34">
        <f>O72</f>
        <v>7.8800000000000007E-4</v>
      </c>
      <c r="BH72" s="34">
        <f>G72*AO72</f>
        <v>0</v>
      </c>
      <c r="BI72" s="34">
        <f>G72*AP72</f>
        <v>0</v>
      </c>
      <c r="BJ72" s="34">
        <f>G72*H72</f>
        <v>0</v>
      </c>
      <c r="BK72" s="34"/>
      <c r="BL72" s="34">
        <v>27</v>
      </c>
      <c r="BW72" s="34" t="str">
        <f>I72</f>
        <v>21</v>
      </c>
    </row>
    <row r="73" spans="1:75" x14ac:dyDescent="0.25">
      <c r="A73" s="37"/>
      <c r="D73" s="38" t="s">
        <v>197</v>
      </c>
      <c r="E73" s="39" t="s">
        <v>50</v>
      </c>
      <c r="G73" s="40">
        <v>3.94</v>
      </c>
      <c r="P73" s="41"/>
    </row>
    <row r="74" spans="1:75" ht="13.5" customHeight="1" x14ac:dyDescent="0.25">
      <c r="A74" s="2" t="s">
        <v>198</v>
      </c>
      <c r="B74" s="3" t="s">
        <v>51</v>
      </c>
      <c r="C74" s="3" t="s">
        <v>199</v>
      </c>
      <c r="D74" s="76" t="s">
        <v>200</v>
      </c>
      <c r="E74" s="77"/>
      <c r="F74" s="3" t="s">
        <v>58</v>
      </c>
      <c r="G74" s="34">
        <v>3.94</v>
      </c>
      <c r="H74" s="34"/>
      <c r="I74" s="35" t="s">
        <v>59</v>
      </c>
      <c r="J74" s="34">
        <f>G74*AO74</f>
        <v>0</v>
      </c>
      <c r="K74" s="34">
        <f>G74*AP74</f>
        <v>0</v>
      </c>
      <c r="L74" s="34">
        <f>G74*H74</f>
        <v>0</v>
      </c>
      <c r="M74" s="34">
        <f>L74*(1+BW74/100)</f>
        <v>0</v>
      </c>
      <c r="N74" s="34">
        <v>0</v>
      </c>
      <c r="O74" s="34">
        <f>G74*N74</f>
        <v>0</v>
      </c>
      <c r="P74" s="36" t="s">
        <v>779</v>
      </c>
      <c r="Z74" s="34">
        <f>IF(AQ74="5",BJ74,0)</f>
        <v>0</v>
      </c>
      <c r="AB74" s="34">
        <f>IF(AQ74="1",BH74,0)</f>
        <v>0</v>
      </c>
      <c r="AC74" s="34">
        <f>IF(AQ74="1",BI74,0)</f>
        <v>0</v>
      </c>
      <c r="AD74" s="34">
        <f>IF(AQ74="7",BH74,0)</f>
        <v>0</v>
      </c>
      <c r="AE74" s="34">
        <f>IF(AQ74="7",BI74,0)</f>
        <v>0</v>
      </c>
      <c r="AF74" s="34">
        <f>IF(AQ74="2",BH74,0)</f>
        <v>0</v>
      </c>
      <c r="AG74" s="34">
        <f>IF(AQ74="2",BI74,0)</f>
        <v>0</v>
      </c>
      <c r="AH74" s="34">
        <f>IF(AQ74="0",BJ74,0)</f>
        <v>0</v>
      </c>
      <c r="AI74" s="11" t="s">
        <v>51</v>
      </c>
      <c r="AJ74" s="34">
        <f>IF(AN74=0,L74,0)</f>
        <v>0</v>
      </c>
      <c r="AK74" s="34">
        <f>IF(AN74=12,L74,0)</f>
        <v>0</v>
      </c>
      <c r="AL74" s="34">
        <f>IF(AN74=21,L74,0)</f>
        <v>0</v>
      </c>
      <c r="AN74" s="34">
        <v>21</v>
      </c>
      <c r="AO74" s="34">
        <f>H74*0</f>
        <v>0</v>
      </c>
      <c r="AP74" s="34">
        <f>H74*(1-0)</f>
        <v>0</v>
      </c>
      <c r="AQ74" s="35" t="s">
        <v>55</v>
      </c>
      <c r="AV74" s="34">
        <f>AW74+AX74</f>
        <v>0</v>
      </c>
      <c r="AW74" s="34">
        <f>G74*AO74</f>
        <v>0</v>
      </c>
      <c r="AX74" s="34">
        <f>G74*AP74</f>
        <v>0</v>
      </c>
      <c r="AY74" s="35" t="s">
        <v>191</v>
      </c>
      <c r="AZ74" s="35" t="s">
        <v>173</v>
      </c>
      <c r="BA74" s="11" t="s">
        <v>62</v>
      </c>
      <c r="BC74" s="34">
        <f>AW74+AX74</f>
        <v>0</v>
      </c>
      <c r="BD74" s="34">
        <f>H74/(100-BE74)*100</f>
        <v>0</v>
      </c>
      <c r="BE74" s="34">
        <v>0</v>
      </c>
      <c r="BF74" s="34">
        <f>O74</f>
        <v>0</v>
      </c>
      <c r="BH74" s="34">
        <f>G74*AO74</f>
        <v>0</v>
      </c>
      <c r="BI74" s="34">
        <f>G74*AP74</f>
        <v>0</v>
      </c>
      <c r="BJ74" s="34">
        <f>G74*H74</f>
        <v>0</v>
      </c>
      <c r="BK74" s="34"/>
      <c r="BL74" s="34">
        <v>27</v>
      </c>
      <c r="BW74" s="34" t="str">
        <f>I74</f>
        <v>21</v>
      </c>
    </row>
    <row r="75" spans="1:75" x14ac:dyDescent="0.25">
      <c r="A75" s="30" t="s">
        <v>50</v>
      </c>
      <c r="B75" s="31" t="s">
        <v>51</v>
      </c>
      <c r="C75" s="31" t="s">
        <v>201</v>
      </c>
      <c r="D75" s="130" t="s">
        <v>202</v>
      </c>
      <c r="E75" s="131"/>
      <c r="F75" s="32" t="s">
        <v>3</v>
      </c>
      <c r="G75" s="32" t="s">
        <v>3</v>
      </c>
      <c r="H75" s="32"/>
      <c r="I75" s="32" t="s">
        <v>3</v>
      </c>
      <c r="J75" s="1">
        <f>SUM(J76:J76)</f>
        <v>0</v>
      </c>
      <c r="K75" s="1">
        <f>SUM(K76:K76)</f>
        <v>0</v>
      </c>
      <c r="L75" s="1">
        <f>SUM(L76:L76)</f>
        <v>0</v>
      </c>
      <c r="M75" s="1">
        <f>SUM(M76:M76)</f>
        <v>0</v>
      </c>
      <c r="N75" s="11" t="s">
        <v>50</v>
      </c>
      <c r="O75" s="1">
        <f>SUM(O76:O76)</f>
        <v>0.10383000000000001</v>
      </c>
      <c r="P75" s="33" t="s">
        <v>50</v>
      </c>
      <c r="AI75" s="11" t="s">
        <v>51</v>
      </c>
      <c r="AS75" s="1">
        <f>SUM(AJ76:AJ76)</f>
        <v>0</v>
      </c>
      <c r="AT75" s="1">
        <f>SUM(AK76:AK76)</f>
        <v>0</v>
      </c>
      <c r="AU75" s="1">
        <f>SUM(AL76:AL76)</f>
        <v>0</v>
      </c>
    </row>
    <row r="76" spans="1:75" ht="13.5" customHeight="1" x14ac:dyDescent="0.25">
      <c r="A76" s="2" t="s">
        <v>186</v>
      </c>
      <c r="B76" s="3" t="s">
        <v>51</v>
      </c>
      <c r="C76" s="3" t="s">
        <v>203</v>
      </c>
      <c r="D76" s="76" t="s">
        <v>204</v>
      </c>
      <c r="E76" s="77"/>
      <c r="F76" s="3" t="s">
        <v>115</v>
      </c>
      <c r="G76" s="34">
        <v>3</v>
      </c>
      <c r="H76" s="34"/>
      <c r="I76" s="35" t="s">
        <v>59</v>
      </c>
      <c r="J76" s="34">
        <f>G76*AO76</f>
        <v>0</v>
      </c>
      <c r="K76" s="34">
        <f>G76*AP76</f>
        <v>0</v>
      </c>
      <c r="L76" s="34">
        <f>G76*H76</f>
        <v>0</v>
      </c>
      <c r="M76" s="34">
        <f>L76*(1+BW76/100)</f>
        <v>0</v>
      </c>
      <c r="N76" s="34">
        <v>3.4610000000000002E-2</v>
      </c>
      <c r="O76" s="34">
        <f>G76*N76</f>
        <v>0.10383000000000001</v>
      </c>
      <c r="P76" s="36" t="s">
        <v>50</v>
      </c>
      <c r="Z76" s="34">
        <f>IF(AQ76="5",BJ76,0)</f>
        <v>0</v>
      </c>
      <c r="AB76" s="34">
        <f>IF(AQ76="1",BH76,0)</f>
        <v>0</v>
      </c>
      <c r="AC76" s="34">
        <f>IF(AQ76="1",BI76,0)</f>
        <v>0</v>
      </c>
      <c r="AD76" s="34">
        <f>IF(AQ76="7",BH76,0)</f>
        <v>0</v>
      </c>
      <c r="AE76" s="34">
        <f>IF(AQ76="7",BI76,0)</f>
        <v>0</v>
      </c>
      <c r="AF76" s="34">
        <f>IF(AQ76="2",BH76,0)</f>
        <v>0</v>
      </c>
      <c r="AG76" s="34">
        <f>IF(AQ76="2",BI76,0)</f>
        <v>0</v>
      </c>
      <c r="AH76" s="34">
        <f>IF(AQ76="0",BJ76,0)</f>
        <v>0</v>
      </c>
      <c r="AI76" s="11" t="s">
        <v>51</v>
      </c>
      <c r="AJ76" s="34">
        <f>IF(AN76=0,L76,0)</f>
        <v>0</v>
      </c>
      <c r="AK76" s="34">
        <f>IF(AN76=12,L76,0)</f>
        <v>0</v>
      </c>
      <c r="AL76" s="34">
        <f>IF(AN76=21,L76,0)</f>
        <v>0</v>
      </c>
      <c r="AN76" s="34">
        <v>21</v>
      </c>
      <c r="AO76" s="34">
        <f>H76*0.789064436</f>
        <v>0</v>
      </c>
      <c r="AP76" s="34">
        <f>H76*(1-0.789064436)</f>
        <v>0</v>
      </c>
      <c r="AQ76" s="35" t="s">
        <v>55</v>
      </c>
      <c r="AV76" s="34">
        <f>AW76+AX76</f>
        <v>0</v>
      </c>
      <c r="AW76" s="34">
        <f>G76*AO76</f>
        <v>0</v>
      </c>
      <c r="AX76" s="34">
        <f>G76*AP76</f>
        <v>0</v>
      </c>
      <c r="AY76" s="35" t="s">
        <v>205</v>
      </c>
      <c r="AZ76" s="35" t="s">
        <v>206</v>
      </c>
      <c r="BA76" s="11" t="s">
        <v>62</v>
      </c>
      <c r="BC76" s="34">
        <f>AW76+AX76</f>
        <v>0</v>
      </c>
      <c r="BD76" s="34">
        <f>H76/(100-BE76)*100</f>
        <v>0</v>
      </c>
      <c r="BE76" s="34">
        <v>0</v>
      </c>
      <c r="BF76" s="34">
        <f>O76</f>
        <v>0.10383000000000001</v>
      </c>
      <c r="BH76" s="34">
        <f>G76*AO76</f>
        <v>0</v>
      </c>
      <c r="BI76" s="34">
        <f>G76*AP76</f>
        <v>0</v>
      </c>
      <c r="BJ76" s="34">
        <f>G76*H76</f>
        <v>0</v>
      </c>
      <c r="BK76" s="34"/>
      <c r="BL76" s="34">
        <v>43</v>
      </c>
      <c r="BW76" s="34" t="str">
        <f>I76</f>
        <v>21</v>
      </c>
    </row>
    <row r="77" spans="1:75" ht="13.5" customHeight="1" x14ac:dyDescent="0.25">
      <c r="A77" s="37"/>
      <c r="D77" s="132" t="s">
        <v>207</v>
      </c>
      <c r="E77" s="133"/>
      <c r="F77" s="133"/>
      <c r="G77" s="133"/>
      <c r="H77" s="133"/>
      <c r="I77" s="133"/>
      <c r="J77" s="133"/>
      <c r="K77" s="133"/>
      <c r="L77" s="133"/>
      <c r="M77" s="133"/>
      <c r="N77" s="133"/>
      <c r="O77" s="133"/>
      <c r="P77" s="134"/>
    </row>
    <row r="78" spans="1:75" x14ac:dyDescent="0.25">
      <c r="A78" s="30" t="s">
        <v>50</v>
      </c>
      <c r="B78" s="31" t="s">
        <v>51</v>
      </c>
      <c r="C78" s="31" t="s">
        <v>208</v>
      </c>
      <c r="D78" s="130" t="s">
        <v>209</v>
      </c>
      <c r="E78" s="131"/>
      <c r="F78" s="32" t="s">
        <v>3</v>
      </c>
      <c r="G78" s="32" t="s">
        <v>3</v>
      </c>
      <c r="H78" s="32" t="s">
        <v>3</v>
      </c>
      <c r="I78" s="32" t="s">
        <v>3</v>
      </c>
      <c r="J78" s="1">
        <f>SUM(J79:J81)</f>
        <v>0</v>
      </c>
      <c r="K78" s="1">
        <f>SUM(K79:K81)</f>
        <v>0</v>
      </c>
      <c r="L78" s="1">
        <f>SUM(L79:L81)</f>
        <v>0</v>
      </c>
      <c r="M78" s="1">
        <f>SUM(M79:M81)</f>
        <v>0</v>
      </c>
      <c r="N78" s="11" t="s">
        <v>50</v>
      </c>
      <c r="O78" s="1">
        <f>SUM(O79:O81)</f>
        <v>0.85586318000000006</v>
      </c>
      <c r="P78" s="33" t="s">
        <v>50</v>
      </c>
      <c r="AI78" s="11" t="s">
        <v>51</v>
      </c>
      <c r="AS78" s="1">
        <f>SUM(AJ79:AJ81)</f>
        <v>0</v>
      </c>
      <c r="AT78" s="1">
        <f>SUM(AK79:AK81)</f>
        <v>0</v>
      </c>
      <c r="AU78" s="1">
        <f>SUM(AL79:AL81)</f>
        <v>0</v>
      </c>
    </row>
    <row r="79" spans="1:75" ht="13.5" customHeight="1" x14ac:dyDescent="0.25">
      <c r="A79" s="2" t="s">
        <v>210</v>
      </c>
      <c r="B79" s="3" t="s">
        <v>51</v>
      </c>
      <c r="C79" s="3" t="s">
        <v>211</v>
      </c>
      <c r="D79" s="76" t="s">
        <v>212</v>
      </c>
      <c r="E79" s="77"/>
      <c r="F79" s="3" t="s">
        <v>127</v>
      </c>
      <c r="G79" s="34">
        <v>0.13400000000000001</v>
      </c>
      <c r="H79" s="34"/>
      <c r="I79" s="35" t="s">
        <v>59</v>
      </c>
      <c r="J79" s="34">
        <f>G79*AO79</f>
        <v>0</v>
      </c>
      <c r="K79" s="34">
        <f>G79*AP79</f>
        <v>0</v>
      </c>
      <c r="L79" s="34">
        <f>G79*H79</f>
        <v>0</v>
      </c>
      <c r="M79" s="34">
        <f>L79*(1+BW79/100)</f>
        <v>0</v>
      </c>
      <c r="N79" s="34">
        <v>1.8907700000000001</v>
      </c>
      <c r="O79" s="34">
        <f>G79*N79</f>
        <v>0.25336318000000002</v>
      </c>
      <c r="P79" s="36" t="s">
        <v>779</v>
      </c>
      <c r="Z79" s="34">
        <f>IF(AQ79="5",BJ79,0)</f>
        <v>0</v>
      </c>
      <c r="AB79" s="34">
        <f>IF(AQ79="1",BH79,0)</f>
        <v>0</v>
      </c>
      <c r="AC79" s="34">
        <f>IF(AQ79="1",BI79,0)</f>
        <v>0</v>
      </c>
      <c r="AD79" s="34">
        <f>IF(AQ79="7",BH79,0)</f>
        <v>0</v>
      </c>
      <c r="AE79" s="34">
        <f>IF(AQ79="7",BI79,0)</f>
        <v>0</v>
      </c>
      <c r="AF79" s="34">
        <f>IF(AQ79="2",BH79,0)</f>
        <v>0</v>
      </c>
      <c r="AG79" s="34">
        <f>IF(AQ79="2",BI79,0)</f>
        <v>0</v>
      </c>
      <c r="AH79" s="34">
        <f>IF(AQ79="0",BJ79,0)</f>
        <v>0</v>
      </c>
      <c r="AI79" s="11" t="s">
        <v>51</v>
      </c>
      <c r="AJ79" s="34">
        <f>IF(AN79=0,L79,0)</f>
        <v>0</v>
      </c>
      <c r="AK79" s="34">
        <f>IF(AN79=12,L79,0)</f>
        <v>0</v>
      </c>
      <c r="AL79" s="34">
        <f>IF(AN79=21,L79,0)</f>
        <v>0</v>
      </c>
      <c r="AN79" s="34">
        <v>21</v>
      </c>
      <c r="AO79" s="34">
        <f>H79*0.488122492</f>
        <v>0</v>
      </c>
      <c r="AP79" s="34">
        <f>H79*(1-0.488122492)</f>
        <v>0</v>
      </c>
      <c r="AQ79" s="35" t="s">
        <v>55</v>
      </c>
      <c r="AV79" s="34">
        <f>AW79+AX79</f>
        <v>0</v>
      </c>
      <c r="AW79" s="34">
        <f>G79*AO79</f>
        <v>0</v>
      </c>
      <c r="AX79" s="34">
        <f>G79*AP79</f>
        <v>0</v>
      </c>
      <c r="AY79" s="35" t="s">
        <v>213</v>
      </c>
      <c r="AZ79" s="35" t="s">
        <v>206</v>
      </c>
      <c r="BA79" s="11" t="s">
        <v>62</v>
      </c>
      <c r="BC79" s="34">
        <f>AW79+AX79</f>
        <v>0</v>
      </c>
      <c r="BD79" s="34">
        <f>H79/(100-BE79)*100</f>
        <v>0</v>
      </c>
      <c r="BE79" s="34">
        <v>0</v>
      </c>
      <c r="BF79" s="34">
        <f>O79</f>
        <v>0.25336318000000002</v>
      </c>
      <c r="BH79" s="34">
        <f>G79*AO79</f>
        <v>0</v>
      </c>
      <c r="BI79" s="34">
        <f>G79*AP79</f>
        <v>0</v>
      </c>
      <c r="BJ79" s="34">
        <f>G79*H79</f>
        <v>0</v>
      </c>
      <c r="BK79" s="34"/>
      <c r="BL79" s="34">
        <v>45</v>
      </c>
      <c r="BW79" s="34" t="str">
        <f>I79</f>
        <v>21</v>
      </c>
    </row>
    <row r="80" spans="1:75" x14ac:dyDescent="0.25">
      <c r="A80" s="37"/>
      <c r="D80" s="38" t="s">
        <v>214</v>
      </c>
      <c r="E80" s="39" t="s">
        <v>215</v>
      </c>
      <c r="G80" s="40">
        <v>0.13400000000000001</v>
      </c>
      <c r="P80" s="41"/>
    </row>
    <row r="81" spans="1:75" ht="13.5" customHeight="1" x14ac:dyDescent="0.25">
      <c r="A81" s="2" t="s">
        <v>216</v>
      </c>
      <c r="B81" s="3" t="s">
        <v>51</v>
      </c>
      <c r="C81" s="3" t="s">
        <v>217</v>
      </c>
      <c r="D81" s="76" t="s">
        <v>218</v>
      </c>
      <c r="E81" s="77"/>
      <c r="F81" s="3" t="s">
        <v>127</v>
      </c>
      <c r="G81" s="34">
        <v>0.24099999999999999</v>
      </c>
      <c r="H81" s="34"/>
      <c r="I81" s="35" t="s">
        <v>59</v>
      </c>
      <c r="J81" s="34">
        <f>G81*AO81</f>
        <v>0</v>
      </c>
      <c r="K81" s="34">
        <f>G81*AP81</f>
        <v>0</v>
      </c>
      <c r="L81" s="34">
        <f>G81*H81</f>
        <v>0</v>
      </c>
      <c r="M81" s="34">
        <f>L81*(1+BW81/100)</f>
        <v>0</v>
      </c>
      <c r="N81" s="34">
        <v>2.5</v>
      </c>
      <c r="O81" s="34">
        <f>G81*N81</f>
        <v>0.60250000000000004</v>
      </c>
      <c r="P81" s="36" t="s">
        <v>50</v>
      </c>
      <c r="Z81" s="34">
        <f>IF(AQ81="5",BJ81,0)</f>
        <v>0</v>
      </c>
      <c r="AB81" s="34">
        <f>IF(AQ81="1",BH81,0)</f>
        <v>0</v>
      </c>
      <c r="AC81" s="34">
        <f>IF(AQ81="1",BI81,0)</f>
        <v>0</v>
      </c>
      <c r="AD81" s="34">
        <f>IF(AQ81="7",BH81,0)</f>
        <v>0</v>
      </c>
      <c r="AE81" s="34">
        <f>IF(AQ81="7",BI81,0)</f>
        <v>0</v>
      </c>
      <c r="AF81" s="34">
        <f>IF(AQ81="2",BH81,0)</f>
        <v>0</v>
      </c>
      <c r="AG81" s="34">
        <f>IF(AQ81="2",BI81,0)</f>
        <v>0</v>
      </c>
      <c r="AH81" s="34">
        <f>IF(AQ81="0",BJ81,0)</f>
        <v>0</v>
      </c>
      <c r="AI81" s="11" t="s">
        <v>51</v>
      </c>
      <c r="AJ81" s="34">
        <f>IF(AN81=0,L81,0)</f>
        <v>0</v>
      </c>
      <c r="AK81" s="34">
        <f>IF(AN81=12,L81,0)</f>
        <v>0</v>
      </c>
      <c r="AL81" s="34">
        <f>IF(AN81=21,L81,0)</f>
        <v>0</v>
      </c>
      <c r="AN81" s="34">
        <v>21</v>
      </c>
      <c r="AO81" s="34">
        <f>H81*0.806809566</f>
        <v>0</v>
      </c>
      <c r="AP81" s="34">
        <f>H81*(1-0.806809566)</f>
        <v>0</v>
      </c>
      <c r="AQ81" s="35" t="s">
        <v>55</v>
      </c>
      <c r="AV81" s="34">
        <f>AW81+AX81</f>
        <v>0</v>
      </c>
      <c r="AW81" s="34">
        <f>G81*AO81</f>
        <v>0</v>
      </c>
      <c r="AX81" s="34">
        <f>G81*AP81</f>
        <v>0</v>
      </c>
      <c r="AY81" s="35" t="s">
        <v>213</v>
      </c>
      <c r="AZ81" s="35" t="s">
        <v>206</v>
      </c>
      <c r="BA81" s="11" t="s">
        <v>62</v>
      </c>
      <c r="BC81" s="34">
        <f>AW81+AX81</f>
        <v>0</v>
      </c>
      <c r="BD81" s="34">
        <f>H81/(100-BE81)*100</f>
        <v>0</v>
      </c>
      <c r="BE81" s="34">
        <v>0</v>
      </c>
      <c r="BF81" s="34">
        <f>O81</f>
        <v>0.60250000000000004</v>
      </c>
      <c r="BH81" s="34">
        <f>G81*AO81</f>
        <v>0</v>
      </c>
      <c r="BI81" s="34">
        <f>G81*AP81</f>
        <v>0</v>
      </c>
      <c r="BJ81" s="34">
        <f>G81*H81</f>
        <v>0</v>
      </c>
      <c r="BK81" s="34"/>
      <c r="BL81" s="34">
        <v>45</v>
      </c>
      <c r="BW81" s="34" t="str">
        <f>I81</f>
        <v>21</v>
      </c>
    </row>
    <row r="82" spans="1:75" x14ac:dyDescent="0.25">
      <c r="A82" s="37"/>
      <c r="D82" s="38" t="s">
        <v>219</v>
      </c>
      <c r="E82" s="39" t="s">
        <v>220</v>
      </c>
      <c r="G82" s="40">
        <v>0.24099999999999999</v>
      </c>
      <c r="P82" s="41"/>
    </row>
    <row r="83" spans="1:75" x14ac:dyDescent="0.25">
      <c r="A83" s="30" t="s">
        <v>50</v>
      </c>
      <c r="B83" s="31" t="s">
        <v>51</v>
      </c>
      <c r="C83" s="31" t="s">
        <v>221</v>
      </c>
      <c r="D83" s="130" t="s">
        <v>222</v>
      </c>
      <c r="E83" s="131"/>
      <c r="F83" s="32" t="s">
        <v>3</v>
      </c>
      <c r="G83" s="32" t="s">
        <v>3</v>
      </c>
      <c r="H83" s="32"/>
      <c r="I83" s="32" t="s">
        <v>3</v>
      </c>
      <c r="J83" s="1">
        <f>SUM(J84:J106)</f>
        <v>0</v>
      </c>
      <c r="K83" s="1">
        <f>SUM(K84:K106)</f>
        <v>0</v>
      </c>
      <c r="L83" s="1">
        <f>SUM(L84:L106)</f>
        <v>0</v>
      </c>
      <c r="M83" s="1">
        <f>SUM(M84:M106)</f>
        <v>0</v>
      </c>
      <c r="N83" s="11" t="s">
        <v>50</v>
      </c>
      <c r="O83" s="1">
        <f>SUM(O84:O106)</f>
        <v>696.2147782799999</v>
      </c>
      <c r="P83" s="33" t="s">
        <v>50</v>
      </c>
      <c r="AI83" s="11" t="s">
        <v>51</v>
      </c>
      <c r="AS83" s="1">
        <f>SUM(AJ84:AJ106)</f>
        <v>0</v>
      </c>
      <c r="AT83" s="1">
        <f>SUM(AK84:AK106)</f>
        <v>0</v>
      </c>
      <c r="AU83" s="1">
        <f>SUM(AL84:AL106)</f>
        <v>0</v>
      </c>
    </row>
    <row r="84" spans="1:75" ht="13.5" customHeight="1" x14ac:dyDescent="0.25">
      <c r="A84" s="2" t="s">
        <v>223</v>
      </c>
      <c r="B84" s="3" t="s">
        <v>51</v>
      </c>
      <c r="C84" s="3" t="s">
        <v>224</v>
      </c>
      <c r="D84" s="76" t="s">
        <v>225</v>
      </c>
      <c r="E84" s="77"/>
      <c r="F84" s="3" t="s">
        <v>58</v>
      </c>
      <c r="G84" s="34">
        <v>611.62699999999995</v>
      </c>
      <c r="H84" s="34"/>
      <c r="I84" s="35" t="s">
        <v>59</v>
      </c>
      <c r="J84" s="34">
        <f>G84*AO84</f>
        <v>0</v>
      </c>
      <c r="K84" s="34">
        <f>G84*AP84</f>
        <v>0</v>
      </c>
      <c r="L84" s="34">
        <f>G84*H84</f>
        <v>0</v>
      </c>
      <c r="M84" s="34">
        <f>L84*(1+BW84/100)</f>
        <v>0</v>
      </c>
      <c r="N84" s="34">
        <v>0.378</v>
      </c>
      <c r="O84" s="34">
        <f>G84*N84</f>
        <v>231.19500599999998</v>
      </c>
      <c r="P84" s="36" t="s">
        <v>779</v>
      </c>
      <c r="Z84" s="34">
        <f>IF(AQ84="5",BJ84,0)</f>
        <v>0</v>
      </c>
      <c r="AB84" s="34">
        <f>IF(AQ84="1",BH84,0)</f>
        <v>0</v>
      </c>
      <c r="AC84" s="34">
        <f>IF(AQ84="1",BI84,0)</f>
        <v>0</v>
      </c>
      <c r="AD84" s="34">
        <f>IF(AQ84="7",BH84,0)</f>
        <v>0</v>
      </c>
      <c r="AE84" s="34">
        <f>IF(AQ84="7",BI84,0)</f>
        <v>0</v>
      </c>
      <c r="AF84" s="34">
        <f>IF(AQ84="2",BH84,0)</f>
        <v>0</v>
      </c>
      <c r="AG84" s="34">
        <f>IF(AQ84="2",BI84,0)</f>
        <v>0</v>
      </c>
      <c r="AH84" s="34">
        <f>IF(AQ84="0",BJ84,0)</f>
        <v>0</v>
      </c>
      <c r="AI84" s="11" t="s">
        <v>51</v>
      </c>
      <c r="AJ84" s="34">
        <f>IF(AN84=0,L84,0)</f>
        <v>0</v>
      </c>
      <c r="AK84" s="34">
        <f>IF(AN84=12,L84,0)</f>
        <v>0</v>
      </c>
      <c r="AL84" s="34">
        <f>IF(AN84=21,L84,0)</f>
        <v>0</v>
      </c>
      <c r="AN84" s="34">
        <v>21</v>
      </c>
      <c r="AO84" s="34">
        <f>H84*0.82527503</f>
        <v>0</v>
      </c>
      <c r="AP84" s="34">
        <f>H84*(1-0.82527503)</f>
        <v>0</v>
      </c>
      <c r="AQ84" s="35" t="s">
        <v>55</v>
      </c>
      <c r="AV84" s="34">
        <f>AW84+AX84</f>
        <v>0</v>
      </c>
      <c r="AW84" s="34">
        <f>G84*AO84</f>
        <v>0</v>
      </c>
      <c r="AX84" s="34">
        <f>G84*AP84</f>
        <v>0</v>
      </c>
      <c r="AY84" s="35" t="s">
        <v>226</v>
      </c>
      <c r="AZ84" s="35" t="s">
        <v>227</v>
      </c>
      <c r="BA84" s="11" t="s">
        <v>62</v>
      </c>
      <c r="BC84" s="34">
        <f>AW84+AX84</f>
        <v>0</v>
      </c>
      <c r="BD84" s="34">
        <f>H84/(100-BE84)*100</f>
        <v>0</v>
      </c>
      <c r="BE84" s="34">
        <v>0</v>
      </c>
      <c r="BF84" s="34">
        <f>O84</f>
        <v>231.19500599999998</v>
      </c>
      <c r="BH84" s="34">
        <f>G84*AO84</f>
        <v>0</v>
      </c>
      <c r="BI84" s="34">
        <f>G84*AP84</f>
        <v>0</v>
      </c>
      <c r="BJ84" s="34">
        <f>G84*H84</f>
        <v>0</v>
      </c>
      <c r="BK84" s="34"/>
      <c r="BL84" s="34">
        <v>56</v>
      </c>
      <c r="BW84" s="34" t="str">
        <f>I84</f>
        <v>21</v>
      </c>
    </row>
    <row r="85" spans="1:75" ht="13.5" customHeight="1" x14ac:dyDescent="0.25">
      <c r="A85" s="37"/>
      <c r="D85" s="132" t="s">
        <v>228</v>
      </c>
      <c r="E85" s="133"/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4"/>
    </row>
    <row r="86" spans="1:75" x14ac:dyDescent="0.25">
      <c r="A86" s="37"/>
      <c r="D86" s="38" t="s">
        <v>229</v>
      </c>
      <c r="E86" s="39" t="s">
        <v>230</v>
      </c>
      <c r="G86" s="40">
        <v>385.39</v>
      </c>
      <c r="P86" s="41"/>
    </row>
    <row r="87" spans="1:75" x14ac:dyDescent="0.25">
      <c r="A87" s="37"/>
      <c r="D87" s="38" t="s">
        <v>231</v>
      </c>
      <c r="E87" s="39" t="s">
        <v>232</v>
      </c>
      <c r="G87" s="40">
        <v>7.22</v>
      </c>
      <c r="P87" s="41"/>
    </row>
    <row r="88" spans="1:75" x14ac:dyDescent="0.25">
      <c r="A88" s="37"/>
      <c r="D88" s="38" t="s">
        <v>233</v>
      </c>
      <c r="E88" s="39" t="s">
        <v>234</v>
      </c>
      <c r="G88" s="40">
        <v>219.017</v>
      </c>
      <c r="P88" s="41"/>
    </row>
    <row r="89" spans="1:75" ht="13.5" customHeight="1" x14ac:dyDescent="0.25">
      <c r="A89" s="2" t="s">
        <v>235</v>
      </c>
      <c r="B89" s="3" t="s">
        <v>51</v>
      </c>
      <c r="C89" s="3" t="s">
        <v>236</v>
      </c>
      <c r="D89" s="76" t="s">
        <v>237</v>
      </c>
      <c r="E89" s="77"/>
      <c r="F89" s="3" t="s">
        <v>58</v>
      </c>
      <c r="G89" s="34">
        <v>610.48699999999997</v>
      </c>
      <c r="H89" s="34"/>
      <c r="I89" s="35" t="s">
        <v>59</v>
      </c>
      <c r="J89" s="34">
        <f>G89*AO89</f>
        <v>0</v>
      </c>
      <c r="K89" s="34">
        <f>G89*AP89</f>
        <v>0</v>
      </c>
      <c r="L89" s="34">
        <f>G89*H89</f>
        <v>0</v>
      </c>
      <c r="M89" s="34">
        <f>L89*(1+BW89/100)</f>
        <v>0</v>
      </c>
      <c r="N89" s="34">
        <v>0.441</v>
      </c>
      <c r="O89" s="34">
        <f>G89*N89</f>
        <v>269.22476699999999</v>
      </c>
      <c r="P89" s="36" t="s">
        <v>779</v>
      </c>
      <c r="Z89" s="34">
        <f>IF(AQ89="5",BJ89,0)</f>
        <v>0</v>
      </c>
      <c r="AB89" s="34">
        <f>IF(AQ89="1",BH89,0)</f>
        <v>0</v>
      </c>
      <c r="AC89" s="34">
        <f>IF(AQ89="1",BI89,0)</f>
        <v>0</v>
      </c>
      <c r="AD89" s="34">
        <f>IF(AQ89="7",BH89,0)</f>
        <v>0</v>
      </c>
      <c r="AE89" s="34">
        <f>IF(AQ89="7",BI89,0)</f>
        <v>0</v>
      </c>
      <c r="AF89" s="34">
        <f>IF(AQ89="2",BH89,0)</f>
        <v>0</v>
      </c>
      <c r="AG89" s="34">
        <f>IF(AQ89="2",BI89,0)</f>
        <v>0</v>
      </c>
      <c r="AH89" s="34">
        <f>IF(AQ89="0",BJ89,0)</f>
        <v>0</v>
      </c>
      <c r="AI89" s="11" t="s">
        <v>51</v>
      </c>
      <c r="AJ89" s="34">
        <f>IF(AN89=0,L89,0)</f>
        <v>0</v>
      </c>
      <c r="AK89" s="34">
        <f>IF(AN89=12,L89,0)</f>
        <v>0</v>
      </c>
      <c r="AL89" s="34">
        <f>IF(AN89=21,L89,0)</f>
        <v>0</v>
      </c>
      <c r="AN89" s="34">
        <v>21</v>
      </c>
      <c r="AO89" s="34">
        <f>H89*0.844888735</f>
        <v>0</v>
      </c>
      <c r="AP89" s="34">
        <f>H89*(1-0.844888735)</f>
        <v>0</v>
      </c>
      <c r="AQ89" s="35" t="s">
        <v>55</v>
      </c>
      <c r="AV89" s="34">
        <f>AW89+AX89</f>
        <v>0</v>
      </c>
      <c r="AW89" s="34">
        <f>G89*AO89</f>
        <v>0</v>
      </c>
      <c r="AX89" s="34">
        <f>G89*AP89</f>
        <v>0</v>
      </c>
      <c r="AY89" s="35" t="s">
        <v>226</v>
      </c>
      <c r="AZ89" s="35" t="s">
        <v>227</v>
      </c>
      <c r="BA89" s="11" t="s">
        <v>62</v>
      </c>
      <c r="BC89" s="34">
        <f>AW89+AX89</f>
        <v>0</v>
      </c>
      <c r="BD89" s="34">
        <f>H89/(100-BE89)*100</f>
        <v>0</v>
      </c>
      <c r="BE89" s="34">
        <v>0</v>
      </c>
      <c r="BF89" s="34">
        <f>O89</f>
        <v>269.22476699999999</v>
      </c>
      <c r="BH89" s="34">
        <f>G89*AO89</f>
        <v>0</v>
      </c>
      <c r="BI89" s="34">
        <f>G89*AP89</f>
        <v>0</v>
      </c>
      <c r="BJ89" s="34">
        <f>G89*H89</f>
        <v>0</v>
      </c>
      <c r="BK89" s="34"/>
      <c r="BL89" s="34">
        <v>56</v>
      </c>
      <c r="BW89" s="34" t="str">
        <f>I89</f>
        <v>21</v>
      </c>
    </row>
    <row r="90" spans="1:75" ht="13.5" customHeight="1" x14ac:dyDescent="0.25">
      <c r="A90" s="37"/>
      <c r="D90" s="132" t="s">
        <v>228</v>
      </c>
      <c r="E90" s="133"/>
      <c r="F90" s="133"/>
      <c r="G90" s="133"/>
      <c r="H90" s="133"/>
      <c r="I90" s="133"/>
      <c r="J90" s="133"/>
      <c r="K90" s="133"/>
      <c r="L90" s="133"/>
      <c r="M90" s="133"/>
      <c r="N90" s="133"/>
      <c r="O90" s="133"/>
      <c r="P90" s="134"/>
    </row>
    <row r="91" spans="1:75" x14ac:dyDescent="0.25">
      <c r="A91" s="37"/>
      <c r="D91" s="38" t="s">
        <v>229</v>
      </c>
      <c r="E91" s="39" t="s">
        <v>238</v>
      </c>
      <c r="G91" s="40">
        <v>385.39</v>
      </c>
      <c r="P91" s="41"/>
    </row>
    <row r="92" spans="1:75" x14ac:dyDescent="0.25">
      <c r="A92" s="37"/>
      <c r="D92" s="38" t="s">
        <v>239</v>
      </c>
      <c r="E92" s="39" t="s">
        <v>240</v>
      </c>
      <c r="G92" s="40">
        <v>6.08</v>
      </c>
      <c r="P92" s="41"/>
    </row>
    <row r="93" spans="1:75" x14ac:dyDescent="0.25">
      <c r="A93" s="37"/>
      <c r="D93" s="38" t="s">
        <v>233</v>
      </c>
      <c r="E93" s="39" t="s">
        <v>241</v>
      </c>
      <c r="G93" s="40">
        <v>219.017</v>
      </c>
      <c r="P93" s="41"/>
    </row>
    <row r="94" spans="1:75" ht="13.5" customHeight="1" x14ac:dyDescent="0.25">
      <c r="A94" s="2" t="s">
        <v>242</v>
      </c>
      <c r="B94" s="3" t="s">
        <v>51</v>
      </c>
      <c r="C94" s="3" t="s">
        <v>243</v>
      </c>
      <c r="D94" s="76" t="s">
        <v>244</v>
      </c>
      <c r="E94" s="77"/>
      <c r="F94" s="3" t="s">
        <v>58</v>
      </c>
      <c r="G94" s="34">
        <v>212.10300000000001</v>
      </c>
      <c r="H94" s="34"/>
      <c r="I94" s="35" t="s">
        <v>59</v>
      </c>
      <c r="J94" s="34">
        <f>G94*AO94</f>
        <v>0</v>
      </c>
      <c r="K94" s="34">
        <f>G94*AP94</f>
        <v>0</v>
      </c>
      <c r="L94" s="34">
        <f>G94*H94</f>
        <v>0</v>
      </c>
      <c r="M94" s="34">
        <f>L94*(1+BW94/100)</f>
        <v>0</v>
      </c>
      <c r="N94" s="34">
        <v>0.55125000000000002</v>
      </c>
      <c r="O94" s="34">
        <f>G94*N94</f>
        <v>116.92177875000002</v>
      </c>
      <c r="P94" s="36" t="s">
        <v>779</v>
      </c>
      <c r="Z94" s="34">
        <f>IF(AQ94="5",BJ94,0)</f>
        <v>0</v>
      </c>
      <c r="AB94" s="34">
        <f>IF(AQ94="1",BH94,0)</f>
        <v>0</v>
      </c>
      <c r="AC94" s="34">
        <f>IF(AQ94="1",BI94,0)</f>
        <v>0</v>
      </c>
      <c r="AD94" s="34">
        <f>IF(AQ94="7",BH94,0)</f>
        <v>0</v>
      </c>
      <c r="AE94" s="34">
        <f>IF(AQ94="7",BI94,0)</f>
        <v>0</v>
      </c>
      <c r="AF94" s="34">
        <f>IF(AQ94="2",BH94,0)</f>
        <v>0</v>
      </c>
      <c r="AG94" s="34">
        <f>IF(AQ94="2",BI94,0)</f>
        <v>0</v>
      </c>
      <c r="AH94" s="34">
        <f>IF(AQ94="0",BJ94,0)</f>
        <v>0</v>
      </c>
      <c r="AI94" s="11" t="s">
        <v>51</v>
      </c>
      <c r="AJ94" s="34">
        <f>IF(AN94=0,L94,0)</f>
        <v>0</v>
      </c>
      <c r="AK94" s="34">
        <f>IF(AN94=12,L94,0)</f>
        <v>0</v>
      </c>
      <c r="AL94" s="34">
        <f>IF(AN94=21,L94,0)</f>
        <v>0</v>
      </c>
      <c r="AN94" s="34">
        <v>21</v>
      </c>
      <c r="AO94" s="34">
        <f>H94*0.867555073</f>
        <v>0</v>
      </c>
      <c r="AP94" s="34">
        <f>H94*(1-0.867555073)</f>
        <v>0</v>
      </c>
      <c r="AQ94" s="35" t="s">
        <v>55</v>
      </c>
      <c r="AV94" s="34">
        <f>AW94+AX94</f>
        <v>0</v>
      </c>
      <c r="AW94" s="34">
        <f>G94*AO94</f>
        <v>0</v>
      </c>
      <c r="AX94" s="34">
        <f>G94*AP94</f>
        <v>0</v>
      </c>
      <c r="AY94" s="35" t="s">
        <v>226</v>
      </c>
      <c r="AZ94" s="35" t="s">
        <v>227</v>
      </c>
      <c r="BA94" s="11" t="s">
        <v>62</v>
      </c>
      <c r="BC94" s="34">
        <f>AW94+AX94</f>
        <v>0</v>
      </c>
      <c r="BD94" s="34">
        <f>H94/(100-BE94)*100</f>
        <v>0</v>
      </c>
      <c r="BE94" s="34">
        <v>0</v>
      </c>
      <c r="BF94" s="34">
        <f>O94</f>
        <v>116.92177875000002</v>
      </c>
      <c r="BH94" s="34">
        <f>G94*AO94</f>
        <v>0</v>
      </c>
      <c r="BI94" s="34">
        <f>G94*AP94</f>
        <v>0</v>
      </c>
      <c r="BJ94" s="34">
        <f>G94*H94</f>
        <v>0</v>
      </c>
      <c r="BK94" s="34"/>
      <c r="BL94" s="34">
        <v>56</v>
      </c>
      <c r="BW94" s="34" t="str">
        <f>I94</f>
        <v>21</v>
      </c>
    </row>
    <row r="95" spans="1:75" ht="13.5" customHeight="1" x14ac:dyDescent="0.25">
      <c r="A95" s="37"/>
      <c r="D95" s="132" t="s">
        <v>228</v>
      </c>
      <c r="E95" s="133"/>
      <c r="F95" s="133"/>
      <c r="G95" s="133"/>
      <c r="H95" s="133"/>
      <c r="I95" s="133"/>
      <c r="J95" s="133"/>
      <c r="K95" s="133"/>
      <c r="L95" s="133"/>
      <c r="M95" s="133"/>
      <c r="N95" s="133"/>
      <c r="O95" s="133"/>
      <c r="P95" s="134"/>
    </row>
    <row r="96" spans="1:75" x14ac:dyDescent="0.25">
      <c r="A96" s="37"/>
      <c r="D96" s="38" t="s">
        <v>245</v>
      </c>
      <c r="E96" s="39" t="s">
        <v>246</v>
      </c>
      <c r="G96" s="40">
        <v>23.963000000000001</v>
      </c>
      <c r="P96" s="41"/>
    </row>
    <row r="97" spans="1:75" x14ac:dyDescent="0.25">
      <c r="A97" s="37"/>
      <c r="D97" s="38" t="s">
        <v>247</v>
      </c>
      <c r="E97" s="39" t="s">
        <v>248</v>
      </c>
      <c r="G97" s="40">
        <v>188.14</v>
      </c>
      <c r="P97" s="41"/>
    </row>
    <row r="98" spans="1:75" ht="13.5" customHeight="1" x14ac:dyDescent="0.25">
      <c r="A98" s="2" t="s">
        <v>249</v>
      </c>
      <c r="B98" s="3" t="s">
        <v>51</v>
      </c>
      <c r="C98" s="3" t="s">
        <v>250</v>
      </c>
      <c r="D98" s="76" t="s">
        <v>251</v>
      </c>
      <c r="E98" s="77"/>
      <c r="F98" s="3" t="s">
        <v>58</v>
      </c>
      <c r="G98" s="34">
        <v>40.301000000000002</v>
      </c>
      <c r="H98" s="34"/>
      <c r="I98" s="35" t="s">
        <v>59</v>
      </c>
      <c r="J98" s="34">
        <f>G98*AO98</f>
        <v>0</v>
      </c>
      <c r="K98" s="34">
        <f>G98*AP98</f>
        <v>0</v>
      </c>
      <c r="L98" s="34">
        <f>G98*H98</f>
        <v>0</v>
      </c>
      <c r="M98" s="34">
        <f>L98*(1+BW98/100)</f>
        <v>0</v>
      </c>
      <c r="N98" s="34">
        <v>0.18462999999999999</v>
      </c>
      <c r="O98" s="34">
        <f>G98*N98</f>
        <v>7.4407736299999998</v>
      </c>
      <c r="P98" s="36" t="s">
        <v>50</v>
      </c>
      <c r="Z98" s="34">
        <f>IF(AQ98="5",BJ98,0)</f>
        <v>0</v>
      </c>
      <c r="AB98" s="34">
        <f>IF(AQ98="1",BH98,0)</f>
        <v>0</v>
      </c>
      <c r="AC98" s="34">
        <f>IF(AQ98="1",BI98,0)</f>
        <v>0</v>
      </c>
      <c r="AD98" s="34">
        <f>IF(AQ98="7",BH98,0)</f>
        <v>0</v>
      </c>
      <c r="AE98" s="34">
        <f>IF(AQ98="7",BI98,0)</f>
        <v>0</v>
      </c>
      <c r="AF98" s="34">
        <f>IF(AQ98="2",BH98,0)</f>
        <v>0</v>
      </c>
      <c r="AG98" s="34">
        <f>IF(AQ98="2",BI98,0)</f>
        <v>0</v>
      </c>
      <c r="AH98" s="34">
        <f>IF(AQ98="0",BJ98,0)</f>
        <v>0</v>
      </c>
      <c r="AI98" s="11" t="s">
        <v>51</v>
      </c>
      <c r="AJ98" s="34">
        <f>IF(AN98=0,L98,0)</f>
        <v>0</v>
      </c>
      <c r="AK98" s="34">
        <f>IF(AN98=12,L98,0)</f>
        <v>0</v>
      </c>
      <c r="AL98" s="34">
        <f>IF(AN98=21,L98,0)</f>
        <v>0</v>
      </c>
      <c r="AN98" s="34">
        <v>21</v>
      </c>
      <c r="AO98" s="34">
        <f>H98*0.593161996</f>
        <v>0</v>
      </c>
      <c r="AP98" s="34">
        <f>H98*(1-0.593161996)</f>
        <v>0</v>
      </c>
      <c r="AQ98" s="35" t="s">
        <v>55</v>
      </c>
      <c r="AV98" s="34">
        <f>AW98+AX98</f>
        <v>0</v>
      </c>
      <c r="AW98" s="34">
        <f>G98*AO98</f>
        <v>0</v>
      </c>
      <c r="AX98" s="34">
        <f>G98*AP98</f>
        <v>0</v>
      </c>
      <c r="AY98" s="35" t="s">
        <v>226</v>
      </c>
      <c r="AZ98" s="35" t="s">
        <v>227</v>
      </c>
      <c r="BA98" s="11" t="s">
        <v>62</v>
      </c>
      <c r="BC98" s="34">
        <f>AW98+AX98</f>
        <v>0</v>
      </c>
      <c r="BD98" s="34">
        <f>H98/(100-BE98)*100</f>
        <v>0</v>
      </c>
      <c r="BE98" s="34">
        <v>0</v>
      </c>
      <c r="BF98" s="34">
        <f>O98</f>
        <v>7.4407736299999998</v>
      </c>
      <c r="BH98" s="34">
        <f>G98*AO98</f>
        <v>0</v>
      </c>
      <c r="BI98" s="34">
        <f>G98*AP98</f>
        <v>0</v>
      </c>
      <c r="BJ98" s="34">
        <f>G98*H98</f>
        <v>0</v>
      </c>
      <c r="BK98" s="34"/>
      <c r="BL98" s="34">
        <v>56</v>
      </c>
      <c r="BW98" s="34" t="str">
        <f>I98</f>
        <v>21</v>
      </c>
    </row>
    <row r="99" spans="1:75" x14ac:dyDescent="0.25">
      <c r="A99" s="37"/>
      <c r="D99" s="38" t="s">
        <v>252</v>
      </c>
      <c r="E99" s="39" t="s">
        <v>253</v>
      </c>
      <c r="G99" s="40">
        <v>31.951000000000001</v>
      </c>
      <c r="P99" s="41"/>
    </row>
    <row r="100" spans="1:75" x14ac:dyDescent="0.25">
      <c r="A100" s="37"/>
      <c r="D100" s="38" t="s">
        <v>254</v>
      </c>
      <c r="E100" s="39" t="s">
        <v>50</v>
      </c>
      <c r="G100" s="40">
        <v>8.35</v>
      </c>
      <c r="P100" s="41"/>
    </row>
    <row r="101" spans="1:75" ht="13.5" customHeight="1" x14ac:dyDescent="0.25">
      <c r="A101" s="2" t="s">
        <v>255</v>
      </c>
      <c r="B101" s="3" t="s">
        <v>51</v>
      </c>
      <c r="C101" s="3" t="s">
        <v>256</v>
      </c>
      <c r="D101" s="76" t="s">
        <v>257</v>
      </c>
      <c r="E101" s="77"/>
      <c r="F101" s="3" t="s">
        <v>58</v>
      </c>
      <c r="G101" s="34">
        <v>385.39</v>
      </c>
      <c r="H101" s="34"/>
      <c r="I101" s="35" t="s">
        <v>59</v>
      </c>
      <c r="J101" s="34">
        <f>G101*AO101</f>
        <v>0</v>
      </c>
      <c r="K101" s="34">
        <f>G101*AP101</f>
        <v>0</v>
      </c>
      <c r="L101" s="34">
        <f>G101*H101</f>
        <v>0</v>
      </c>
      <c r="M101" s="34">
        <f>L101*(1+BW101/100)</f>
        <v>0</v>
      </c>
      <c r="N101" s="34">
        <v>0.18462999999999999</v>
      </c>
      <c r="O101" s="34">
        <f>G101*N101</f>
        <v>71.154555699999989</v>
      </c>
      <c r="P101" s="36" t="s">
        <v>779</v>
      </c>
      <c r="Z101" s="34">
        <f>IF(AQ101="5",BJ101,0)</f>
        <v>0</v>
      </c>
      <c r="AB101" s="34">
        <f>IF(AQ101="1",BH101,0)</f>
        <v>0</v>
      </c>
      <c r="AC101" s="34">
        <f>IF(AQ101="1",BI101,0)</f>
        <v>0</v>
      </c>
      <c r="AD101" s="34">
        <f>IF(AQ101="7",BH101,0)</f>
        <v>0</v>
      </c>
      <c r="AE101" s="34">
        <f>IF(AQ101="7",BI101,0)</f>
        <v>0</v>
      </c>
      <c r="AF101" s="34">
        <f>IF(AQ101="2",BH101,0)</f>
        <v>0</v>
      </c>
      <c r="AG101" s="34">
        <f>IF(AQ101="2",BI101,0)</f>
        <v>0</v>
      </c>
      <c r="AH101" s="34">
        <f>IF(AQ101="0",BJ101,0)</f>
        <v>0</v>
      </c>
      <c r="AI101" s="11" t="s">
        <v>51</v>
      </c>
      <c r="AJ101" s="34">
        <f>IF(AN101=0,L101,0)</f>
        <v>0</v>
      </c>
      <c r="AK101" s="34">
        <f>IF(AN101=12,L101,0)</f>
        <v>0</v>
      </c>
      <c r="AL101" s="34">
        <f>IF(AN101=21,L101,0)</f>
        <v>0</v>
      </c>
      <c r="AN101" s="34">
        <v>21</v>
      </c>
      <c r="AO101" s="34">
        <f>H101*0.616916715</f>
        <v>0</v>
      </c>
      <c r="AP101" s="34">
        <f>H101*(1-0.616916715)</f>
        <v>0</v>
      </c>
      <c r="AQ101" s="35" t="s">
        <v>55</v>
      </c>
      <c r="AV101" s="34">
        <f>AW101+AX101</f>
        <v>0</v>
      </c>
      <c r="AW101" s="34">
        <f>G101*AO101</f>
        <v>0</v>
      </c>
      <c r="AX101" s="34">
        <f>G101*AP101</f>
        <v>0</v>
      </c>
      <c r="AY101" s="35" t="s">
        <v>226</v>
      </c>
      <c r="AZ101" s="35" t="s">
        <v>227</v>
      </c>
      <c r="BA101" s="11" t="s">
        <v>62</v>
      </c>
      <c r="BC101" s="34">
        <f>AW101+AX101</f>
        <v>0</v>
      </c>
      <c r="BD101" s="34">
        <f>H101/(100-BE101)*100</f>
        <v>0</v>
      </c>
      <c r="BE101" s="34">
        <v>0</v>
      </c>
      <c r="BF101" s="34">
        <f>O101</f>
        <v>71.154555699999989</v>
      </c>
      <c r="BH101" s="34">
        <f>G101*AO101</f>
        <v>0</v>
      </c>
      <c r="BI101" s="34">
        <f>G101*AP101</f>
        <v>0</v>
      </c>
      <c r="BJ101" s="34">
        <f>G101*H101</f>
        <v>0</v>
      </c>
      <c r="BK101" s="34"/>
      <c r="BL101" s="34">
        <v>56</v>
      </c>
      <c r="BW101" s="34" t="str">
        <f>I101</f>
        <v>21</v>
      </c>
    </row>
    <row r="102" spans="1:75" ht="13.5" customHeight="1" x14ac:dyDescent="0.25">
      <c r="A102" s="37"/>
      <c r="D102" s="132" t="s">
        <v>258</v>
      </c>
      <c r="E102" s="133"/>
      <c r="F102" s="133"/>
      <c r="G102" s="133"/>
      <c r="H102" s="133"/>
      <c r="I102" s="133"/>
      <c r="J102" s="133"/>
      <c r="K102" s="133"/>
      <c r="L102" s="133"/>
      <c r="M102" s="133"/>
      <c r="N102" s="133"/>
      <c r="O102" s="133"/>
      <c r="P102" s="134"/>
    </row>
    <row r="103" spans="1:75" x14ac:dyDescent="0.25">
      <c r="A103" s="37"/>
      <c r="D103" s="38" t="s">
        <v>229</v>
      </c>
      <c r="E103" s="39" t="s">
        <v>259</v>
      </c>
      <c r="G103" s="40">
        <v>385.39</v>
      </c>
      <c r="P103" s="41"/>
    </row>
    <row r="104" spans="1:75" ht="13.5" customHeight="1" x14ac:dyDescent="0.25">
      <c r="A104" s="2" t="s">
        <v>260</v>
      </c>
      <c r="B104" s="3" t="s">
        <v>51</v>
      </c>
      <c r="C104" s="3" t="s">
        <v>261</v>
      </c>
      <c r="D104" s="76" t="s">
        <v>262</v>
      </c>
      <c r="E104" s="77"/>
      <c r="F104" s="3" t="s">
        <v>58</v>
      </c>
      <c r="G104" s="34">
        <v>785.024</v>
      </c>
      <c r="H104" s="34"/>
      <c r="I104" s="35" t="s">
        <v>59</v>
      </c>
      <c r="J104" s="34">
        <f>G104*AO104</f>
        <v>0</v>
      </c>
      <c r="K104" s="34">
        <f>G104*AP104</f>
        <v>0</v>
      </c>
      <c r="L104" s="34">
        <f>G104*H104</f>
        <v>0</v>
      </c>
      <c r="M104" s="34">
        <f>L104*(1+BW104/100)</f>
        <v>0</v>
      </c>
      <c r="N104" s="34">
        <v>0</v>
      </c>
      <c r="O104" s="34">
        <f>G104*N104</f>
        <v>0</v>
      </c>
      <c r="P104" s="36" t="s">
        <v>779</v>
      </c>
      <c r="Z104" s="34">
        <f>IF(AQ104="5",BJ104,0)</f>
        <v>0</v>
      </c>
      <c r="AB104" s="34">
        <f>IF(AQ104="1",BH104,0)</f>
        <v>0</v>
      </c>
      <c r="AC104" s="34">
        <f>IF(AQ104="1",BI104,0)</f>
        <v>0</v>
      </c>
      <c r="AD104" s="34">
        <f>IF(AQ104="7",BH104,0)</f>
        <v>0</v>
      </c>
      <c r="AE104" s="34">
        <f>IF(AQ104="7",BI104,0)</f>
        <v>0</v>
      </c>
      <c r="AF104" s="34">
        <f>IF(AQ104="2",BH104,0)</f>
        <v>0</v>
      </c>
      <c r="AG104" s="34">
        <f>IF(AQ104="2",BI104,0)</f>
        <v>0</v>
      </c>
      <c r="AH104" s="34">
        <f>IF(AQ104="0",BJ104,0)</f>
        <v>0</v>
      </c>
      <c r="AI104" s="11" t="s">
        <v>51</v>
      </c>
      <c r="AJ104" s="34">
        <f>IF(AN104=0,L104,0)</f>
        <v>0</v>
      </c>
      <c r="AK104" s="34">
        <f>IF(AN104=12,L104,0)</f>
        <v>0</v>
      </c>
      <c r="AL104" s="34">
        <f>IF(AN104=21,L104,0)</f>
        <v>0</v>
      </c>
      <c r="AN104" s="34">
        <v>21</v>
      </c>
      <c r="AO104" s="34">
        <f>H104*0</f>
        <v>0</v>
      </c>
      <c r="AP104" s="34">
        <f>H104*(1-0)</f>
        <v>0</v>
      </c>
      <c r="AQ104" s="35" t="s">
        <v>55</v>
      </c>
      <c r="AV104" s="34">
        <f>AW104+AX104</f>
        <v>0</v>
      </c>
      <c r="AW104" s="34">
        <f>G104*AO104</f>
        <v>0</v>
      </c>
      <c r="AX104" s="34">
        <f>G104*AP104</f>
        <v>0</v>
      </c>
      <c r="AY104" s="35" t="s">
        <v>226</v>
      </c>
      <c r="AZ104" s="35" t="s">
        <v>227</v>
      </c>
      <c r="BA104" s="11" t="s">
        <v>62</v>
      </c>
      <c r="BC104" s="34">
        <f>AW104+AX104</f>
        <v>0</v>
      </c>
      <c r="BD104" s="34">
        <f>H104/(100-BE104)*100</f>
        <v>0</v>
      </c>
      <c r="BE104" s="34">
        <v>0</v>
      </c>
      <c r="BF104" s="34">
        <f>O104</f>
        <v>0</v>
      </c>
      <c r="BH104" s="34">
        <f>G104*AO104</f>
        <v>0</v>
      </c>
      <c r="BI104" s="34">
        <f>G104*AP104</f>
        <v>0</v>
      </c>
      <c r="BJ104" s="34">
        <f>G104*H104</f>
        <v>0</v>
      </c>
      <c r="BK104" s="34"/>
      <c r="BL104" s="34">
        <v>56</v>
      </c>
      <c r="BW104" s="34" t="str">
        <f>I104</f>
        <v>21</v>
      </c>
    </row>
    <row r="105" spans="1:75" x14ac:dyDescent="0.25">
      <c r="A105" s="37"/>
      <c r="D105" s="38" t="s">
        <v>263</v>
      </c>
      <c r="E105" s="39" t="s">
        <v>50</v>
      </c>
      <c r="G105" s="40">
        <v>785.024</v>
      </c>
      <c r="P105" s="41"/>
    </row>
    <row r="106" spans="1:75" ht="13.5" customHeight="1" x14ac:dyDescent="0.25">
      <c r="A106" s="42" t="s">
        <v>264</v>
      </c>
      <c r="B106" s="43" t="s">
        <v>51</v>
      </c>
      <c r="C106" s="43" t="s">
        <v>182</v>
      </c>
      <c r="D106" s="135" t="s">
        <v>265</v>
      </c>
      <c r="E106" s="136"/>
      <c r="F106" s="43" t="s">
        <v>58</v>
      </c>
      <c r="G106" s="44">
        <v>926.32399999999996</v>
      </c>
      <c r="H106" s="44"/>
      <c r="I106" s="45" t="s">
        <v>59</v>
      </c>
      <c r="J106" s="44">
        <f>G106*AO106</f>
        <v>0</v>
      </c>
      <c r="K106" s="44">
        <f>G106*AP106</f>
        <v>0</v>
      </c>
      <c r="L106" s="44">
        <f>G106*H106</f>
        <v>0</v>
      </c>
      <c r="M106" s="44">
        <f>L106*(1+BW106/100)</f>
        <v>0</v>
      </c>
      <c r="N106" s="44">
        <v>2.9999999999999997E-4</v>
      </c>
      <c r="O106" s="44">
        <f>G106*N106</f>
        <v>0.27789719999999996</v>
      </c>
      <c r="P106" s="46" t="s">
        <v>779</v>
      </c>
      <c r="Z106" s="34">
        <f>IF(AQ106="5",BJ106,0)</f>
        <v>0</v>
      </c>
      <c r="AB106" s="34">
        <f>IF(AQ106="1",BH106,0)</f>
        <v>0</v>
      </c>
      <c r="AC106" s="34">
        <f>IF(AQ106="1",BI106,0)</f>
        <v>0</v>
      </c>
      <c r="AD106" s="34">
        <f>IF(AQ106="7",BH106,0)</f>
        <v>0</v>
      </c>
      <c r="AE106" s="34">
        <f>IF(AQ106="7",BI106,0)</f>
        <v>0</v>
      </c>
      <c r="AF106" s="34">
        <f>IF(AQ106="2",BH106,0)</f>
        <v>0</v>
      </c>
      <c r="AG106" s="34">
        <f>IF(AQ106="2",BI106,0)</f>
        <v>0</v>
      </c>
      <c r="AH106" s="34">
        <f>IF(AQ106="0",BJ106,0)</f>
        <v>0</v>
      </c>
      <c r="AI106" s="11" t="s">
        <v>51</v>
      </c>
      <c r="AJ106" s="44">
        <f>IF(AN106=0,L106,0)</f>
        <v>0</v>
      </c>
      <c r="AK106" s="44">
        <f>IF(AN106=12,L106,0)</f>
        <v>0</v>
      </c>
      <c r="AL106" s="44">
        <f>IF(AN106=21,L106,0)</f>
        <v>0</v>
      </c>
      <c r="AN106" s="34">
        <v>21</v>
      </c>
      <c r="AO106" s="34">
        <f>H106*1</f>
        <v>0</v>
      </c>
      <c r="AP106" s="34">
        <f>H106*(1-1)</f>
        <v>0</v>
      </c>
      <c r="AQ106" s="45" t="s">
        <v>55</v>
      </c>
      <c r="AV106" s="34">
        <f>AW106+AX106</f>
        <v>0</v>
      </c>
      <c r="AW106" s="34">
        <f>G106*AO106</f>
        <v>0</v>
      </c>
      <c r="AX106" s="34">
        <f>G106*AP106</f>
        <v>0</v>
      </c>
      <c r="AY106" s="35" t="s">
        <v>226</v>
      </c>
      <c r="AZ106" s="35" t="s">
        <v>227</v>
      </c>
      <c r="BA106" s="11" t="s">
        <v>62</v>
      </c>
      <c r="BC106" s="34">
        <f>AW106+AX106</f>
        <v>0</v>
      </c>
      <c r="BD106" s="34">
        <f>H106/(100-BE106)*100</f>
        <v>0</v>
      </c>
      <c r="BE106" s="34">
        <v>0</v>
      </c>
      <c r="BF106" s="34">
        <f>O106</f>
        <v>0.27789719999999996</v>
      </c>
      <c r="BH106" s="44">
        <f>G106*AO106</f>
        <v>0</v>
      </c>
      <c r="BI106" s="44">
        <f>G106*AP106</f>
        <v>0</v>
      </c>
      <c r="BJ106" s="44">
        <f>G106*H106</f>
        <v>0</v>
      </c>
      <c r="BK106" s="44"/>
      <c r="BL106" s="34">
        <v>56</v>
      </c>
      <c r="BW106" s="34" t="str">
        <f>I106</f>
        <v>21</v>
      </c>
    </row>
    <row r="107" spans="1:75" x14ac:dyDescent="0.25">
      <c r="A107" s="37"/>
      <c r="D107" s="38" t="s">
        <v>266</v>
      </c>
      <c r="E107" s="39" t="s">
        <v>50</v>
      </c>
      <c r="G107" s="40">
        <v>785.02</v>
      </c>
      <c r="P107" s="41"/>
    </row>
    <row r="108" spans="1:75" x14ac:dyDescent="0.25">
      <c r="A108" s="37"/>
      <c r="D108" s="38" t="s">
        <v>267</v>
      </c>
      <c r="E108" s="39" t="s">
        <v>50</v>
      </c>
      <c r="G108" s="40">
        <v>141.304</v>
      </c>
      <c r="P108" s="41"/>
    </row>
    <row r="109" spans="1:75" x14ac:dyDescent="0.25">
      <c r="A109" s="30" t="s">
        <v>50</v>
      </c>
      <c r="B109" s="31" t="s">
        <v>51</v>
      </c>
      <c r="C109" s="31" t="s">
        <v>268</v>
      </c>
      <c r="D109" s="130" t="s">
        <v>269</v>
      </c>
      <c r="E109" s="131"/>
      <c r="F109" s="32" t="s">
        <v>3</v>
      </c>
      <c r="G109" s="32" t="s">
        <v>3</v>
      </c>
      <c r="H109" s="32"/>
      <c r="I109" s="32" t="s">
        <v>3</v>
      </c>
      <c r="J109" s="1">
        <f>SUM(J110:J121)</f>
        <v>0</v>
      </c>
      <c r="K109" s="1">
        <f>SUM(K110:K121)</f>
        <v>0</v>
      </c>
      <c r="L109" s="1">
        <f>SUM(L110:L121)</f>
        <v>0</v>
      </c>
      <c r="M109" s="1">
        <f>SUM(M110:M121)</f>
        <v>0</v>
      </c>
      <c r="N109" s="11" t="s">
        <v>50</v>
      </c>
      <c r="O109" s="1">
        <f>SUM(O110:O121)</f>
        <v>45.663127469999999</v>
      </c>
      <c r="P109" s="33" t="s">
        <v>50</v>
      </c>
      <c r="AI109" s="11" t="s">
        <v>51</v>
      </c>
      <c r="AS109" s="1">
        <f>SUM(AJ110:AJ121)</f>
        <v>0</v>
      </c>
      <c r="AT109" s="1">
        <f>SUM(AK110:AK121)</f>
        <v>0</v>
      </c>
      <c r="AU109" s="1">
        <f>SUM(AL110:AL121)</f>
        <v>0</v>
      </c>
    </row>
    <row r="110" spans="1:75" ht="13.5" customHeight="1" x14ac:dyDescent="0.25">
      <c r="A110" s="2" t="s">
        <v>270</v>
      </c>
      <c r="B110" s="3" t="s">
        <v>51</v>
      </c>
      <c r="C110" s="3" t="s">
        <v>271</v>
      </c>
      <c r="D110" s="76" t="s">
        <v>272</v>
      </c>
      <c r="E110" s="77"/>
      <c r="F110" s="3" t="s">
        <v>58</v>
      </c>
      <c r="G110" s="34">
        <v>425.69</v>
      </c>
      <c r="H110" s="34"/>
      <c r="I110" s="35" t="s">
        <v>59</v>
      </c>
      <c r="J110" s="34">
        <f>G110*AO110</f>
        <v>0</v>
      </c>
      <c r="K110" s="34">
        <f>G110*AP110</f>
        <v>0</v>
      </c>
      <c r="L110" s="34">
        <f>G110*H110</f>
        <v>0</v>
      </c>
      <c r="M110" s="34">
        <f>L110*(1+BW110/100)</f>
        <v>0</v>
      </c>
      <c r="N110" s="34">
        <v>1.01E-3</v>
      </c>
      <c r="O110" s="34">
        <f>G110*N110</f>
        <v>0.42994690000000002</v>
      </c>
      <c r="P110" s="36" t="s">
        <v>779</v>
      </c>
      <c r="Z110" s="34">
        <f>IF(AQ110="5",BJ110,0)</f>
        <v>0</v>
      </c>
      <c r="AB110" s="34">
        <f>IF(AQ110="1",BH110,0)</f>
        <v>0</v>
      </c>
      <c r="AC110" s="34">
        <f>IF(AQ110="1",BI110,0)</f>
        <v>0</v>
      </c>
      <c r="AD110" s="34">
        <f>IF(AQ110="7",BH110,0)</f>
        <v>0</v>
      </c>
      <c r="AE110" s="34">
        <f>IF(AQ110="7",BI110,0)</f>
        <v>0</v>
      </c>
      <c r="AF110" s="34">
        <f>IF(AQ110="2",BH110,0)</f>
        <v>0</v>
      </c>
      <c r="AG110" s="34">
        <f>IF(AQ110="2",BI110,0)</f>
        <v>0</v>
      </c>
      <c r="AH110" s="34">
        <f>IF(AQ110="0",BJ110,0)</f>
        <v>0</v>
      </c>
      <c r="AI110" s="11" t="s">
        <v>51</v>
      </c>
      <c r="AJ110" s="34">
        <f>IF(AN110=0,L110,0)</f>
        <v>0</v>
      </c>
      <c r="AK110" s="34">
        <f>IF(AN110=12,L110,0)</f>
        <v>0</v>
      </c>
      <c r="AL110" s="34">
        <f>IF(AN110=21,L110,0)</f>
        <v>0</v>
      </c>
      <c r="AN110" s="34">
        <v>21</v>
      </c>
      <c r="AO110" s="34">
        <f>H110*0.921230806</f>
        <v>0</v>
      </c>
      <c r="AP110" s="34">
        <f>H110*(1-0.921230806)</f>
        <v>0</v>
      </c>
      <c r="AQ110" s="35" t="s">
        <v>55</v>
      </c>
      <c r="AV110" s="34">
        <f>AW110+AX110</f>
        <v>0</v>
      </c>
      <c r="AW110" s="34">
        <f>G110*AO110</f>
        <v>0</v>
      </c>
      <c r="AX110" s="34">
        <f>G110*AP110</f>
        <v>0</v>
      </c>
      <c r="AY110" s="35" t="s">
        <v>273</v>
      </c>
      <c r="AZ110" s="35" t="s">
        <v>227</v>
      </c>
      <c r="BA110" s="11" t="s">
        <v>62</v>
      </c>
      <c r="BC110" s="34">
        <f>AW110+AX110</f>
        <v>0</v>
      </c>
      <c r="BD110" s="34">
        <f>H110/(100-BE110)*100</f>
        <v>0</v>
      </c>
      <c r="BE110" s="34">
        <v>0</v>
      </c>
      <c r="BF110" s="34">
        <f>O110</f>
        <v>0.42994690000000002</v>
      </c>
      <c r="BH110" s="34">
        <f>G110*AO110</f>
        <v>0</v>
      </c>
      <c r="BI110" s="34">
        <f>G110*AP110</f>
        <v>0</v>
      </c>
      <c r="BJ110" s="34">
        <f>G110*H110</f>
        <v>0</v>
      </c>
      <c r="BK110" s="34"/>
      <c r="BL110" s="34">
        <v>57</v>
      </c>
      <c r="BW110" s="34" t="str">
        <f>I110</f>
        <v>21</v>
      </c>
    </row>
    <row r="111" spans="1:75" x14ac:dyDescent="0.25">
      <c r="A111" s="37"/>
      <c r="D111" s="38" t="s">
        <v>229</v>
      </c>
      <c r="E111" s="39" t="s">
        <v>274</v>
      </c>
      <c r="G111" s="40">
        <v>385.39</v>
      </c>
      <c r="P111" s="41"/>
    </row>
    <row r="112" spans="1:75" x14ac:dyDescent="0.25">
      <c r="A112" s="37"/>
      <c r="D112" s="38" t="s">
        <v>275</v>
      </c>
      <c r="E112" s="39" t="s">
        <v>276</v>
      </c>
      <c r="G112" s="40">
        <v>31.95</v>
      </c>
      <c r="P112" s="41"/>
    </row>
    <row r="113" spans="1:75" x14ac:dyDescent="0.25">
      <c r="A113" s="37"/>
      <c r="D113" s="38" t="s">
        <v>254</v>
      </c>
      <c r="E113" s="39" t="s">
        <v>277</v>
      </c>
      <c r="G113" s="40">
        <v>8.35</v>
      </c>
      <c r="P113" s="41"/>
    </row>
    <row r="114" spans="1:75" ht="13.5" customHeight="1" x14ac:dyDescent="0.25">
      <c r="A114" s="2" t="s">
        <v>278</v>
      </c>
      <c r="B114" s="3" t="s">
        <v>51</v>
      </c>
      <c r="C114" s="3" t="s">
        <v>279</v>
      </c>
      <c r="D114" s="76" t="s">
        <v>280</v>
      </c>
      <c r="E114" s="77"/>
      <c r="F114" s="3" t="s">
        <v>58</v>
      </c>
      <c r="G114" s="34">
        <v>434.81</v>
      </c>
      <c r="H114" s="34"/>
      <c r="I114" s="35" t="s">
        <v>59</v>
      </c>
      <c r="J114" s="34">
        <f>G114*AO114</f>
        <v>0</v>
      </c>
      <c r="K114" s="34">
        <f>G114*AP114</f>
        <v>0</v>
      </c>
      <c r="L114" s="34">
        <f>G114*H114</f>
        <v>0</v>
      </c>
      <c r="M114" s="34">
        <f>L114*(1+BW114/100)</f>
        <v>0</v>
      </c>
      <c r="N114" s="34">
        <v>2.9999999999999997E-4</v>
      </c>
      <c r="O114" s="34">
        <f>G114*N114</f>
        <v>0.13044299999999998</v>
      </c>
      <c r="P114" s="36" t="s">
        <v>779</v>
      </c>
      <c r="Z114" s="34">
        <f>IF(AQ114="5",BJ114,0)</f>
        <v>0</v>
      </c>
      <c r="AB114" s="34">
        <f>IF(AQ114="1",BH114,0)</f>
        <v>0</v>
      </c>
      <c r="AC114" s="34">
        <f>IF(AQ114="1",BI114,0)</f>
        <v>0</v>
      </c>
      <c r="AD114" s="34">
        <f>IF(AQ114="7",BH114,0)</f>
        <v>0</v>
      </c>
      <c r="AE114" s="34">
        <f>IF(AQ114="7",BI114,0)</f>
        <v>0</v>
      </c>
      <c r="AF114" s="34">
        <f>IF(AQ114="2",BH114,0)</f>
        <v>0</v>
      </c>
      <c r="AG114" s="34">
        <f>IF(AQ114="2",BI114,0)</f>
        <v>0</v>
      </c>
      <c r="AH114" s="34">
        <f>IF(AQ114="0",BJ114,0)</f>
        <v>0</v>
      </c>
      <c r="AI114" s="11" t="s">
        <v>51</v>
      </c>
      <c r="AJ114" s="34">
        <f>IF(AN114=0,L114,0)</f>
        <v>0</v>
      </c>
      <c r="AK114" s="34">
        <f>IF(AN114=12,L114,0)</f>
        <v>0</v>
      </c>
      <c r="AL114" s="34">
        <f>IF(AN114=21,L114,0)</f>
        <v>0</v>
      </c>
      <c r="AN114" s="34">
        <v>21</v>
      </c>
      <c r="AO114" s="34">
        <f>H114*0.853683177</f>
        <v>0</v>
      </c>
      <c r="AP114" s="34">
        <f>H114*(1-0.853683177)</f>
        <v>0</v>
      </c>
      <c r="AQ114" s="35" t="s">
        <v>55</v>
      </c>
      <c r="AV114" s="34">
        <f>AW114+AX114</f>
        <v>0</v>
      </c>
      <c r="AW114" s="34">
        <f>G114*AO114</f>
        <v>0</v>
      </c>
      <c r="AX114" s="34">
        <f>G114*AP114</f>
        <v>0</v>
      </c>
      <c r="AY114" s="35" t="s">
        <v>273</v>
      </c>
      <c r="AZ114" s="35" t="s">
        <v>227</v>
      </c>
      <c r="BA114" s="11" t="s">
        <v>62</v>
      </c>
      <c r="BC114" s="34">
        <f>AW114+AX114</f>
        <v>0</v>
      </c>
      <c r="BD114" s="34">
        <f>H114/(100-BE114)*100</f>
        <v>0</v>
      </c>
      <c r="BE114" s="34">
        <v>0</v>
      </c>
      <c r="BF114" s="34">
        <f>O114</f>
        <v>0.13044299999999998</v>
      </c>
      <c r="BH114" s="34">
        <f>G114*AO114</f>
        <v>0</v>
      </c>
      <c r="BI114" s="34">
        <f>G114*AP114</f>
        <v>0</v>
      </c>
      <c r="BJ114" s="34">
        <f>G114*H114</f>
        <v>0</v>
      </c>
      <c r="BK114" s="34"/>
      <c r="BL114" s="34">
        <v>57</v>
      </c>
      <c r="BW114" s="34" t="str">
        <f>I114</f>
        <v>21</v>
      </c>
    </row>
    <row r="115" spans="1:75" x14ac:dyDescent="0.25">
      <c r="A115" s="37"/>
      <c r="D115" s="38" t="s">
        <v>229</v>
      </c>
      <c r="E115" s="39" t="s">
        <v>274</v>
      </c>
      <c r="G115" s="40">
        <v>385.39</v>
      </c>
      <c r="P115" s="41"/>
    </row>
    <row r="116" spans="1:75" x14ac:dyDescent="0.25">
      <c r="A116" s="37"/>
      <c r="D116" s="38" t="s">
        <v>281</v>
      </c>
      <c r="E116" s="39" t="s">
        <v>276</v>
      </c>
      <c r="G116" s="40">
        <v>39.94</v>
      </c>
      <c r="P116" s="41"/>
    </row>
    <row r="117" spans="1:75" x14ac:dyDescent="0.25">
      <c r="A117" s="37"/>
      <c r="D117" s="38" t="s">
        <v>92</v>
      </c>
      <c r="E117" s="39" t="s">
        <v>277</v>
      </c>
      <c r="G117" s="40">
        <v>9.48</v>
      </c>
      <c r="P117" s="41"/>
    </row>
    <row r="118" spans="1:75" ht="13.5" customHeight="1" x14ac:dyDescent="0.25">
      <c r="A118" s="2" t="s">
        <v>282</v>
      </c>
      <c r="B118" s="3" t="s">
        <v>51</v>
      </c>
      <c r="C118" s="3" t="s">
        <v>283</v>
      </c>
      <c r="D118" s="76" t="s">
        <v>284</v>
      </c>
      <c r="E118" s="77"/>
      <c r="F118" s="3" t="s">
        <v>58</v>
      </c>
      <c r="G118" s="34">
        <v>49.418999999999997</v>
      </c>
      <c r="H118" s="34"/>
      <c r="I118" s="35" t="s">
        <v>59</v>
      </c>
      <c r="J118" s="34">
        <f>G118*AO118</f>
        <v>0</v>
      </c>
      <c r="K118" s="34">
        <f>G118*AP118</f>
        <v>0</v>
      </c>
      <c r="L118" s="34">
        <f>G118*H118</f>
        <v>0</v>
      </c>
      <c r="M118" s="34">
        <f>L118*(1+BW118/100)</f>
        <v>0</v>
      </c>
      <c r="N118" s="34">
        <v>0.10373</v>
      </c>
      <c r="O118" s="34">
        <f>G118*N118</f>
        <v>5.1262328699999999</v>
      </c>
      <c r="P118" s="36" t="s">
        <v>50</v>
      </c>
      <c r="Z118" s="34">
        <f>IF(AQ118="5",BJ118,0)</f>
        <v>0</v>
      </c>
      <c r="AB118" s="34">
        <f>IF(AQ118="1",BH118,0)</f>
        <v>0</v>
      </c>
      <c r="AC118" s="34">
        <f>IF(AQ118="1",BI118,0)</f>
        <v>0</v>
      </c>
      <c r="AD118" s="34">
        <f>IF(AQ118="7",BH118,0)</f>
        <v>0</v>
      </c>
      <c r="AE118" s="34">
        <f>IF(AQ118="7",BI118,0)</f>
        <v>0</v>
      </c>
      <c r="AF118" s="34">
        <f>IF(AQ118="2",BH118,0)</f>
        <v>0</v>
      </c>
      <c r="AG118" s="34">
        <f>IF(AQ118="2",BI118,0)</f>
        <v>0</v>
      </c>
      <c r="AH118" s="34">
        <f>IF(AQ118="0",BJ118,0)</f>
        <v>0</v>
      </c>
      <c r="AI118" s="11" t="s">
        <v>51</v>
      </c>
      <c r="AJ118" s="34">
        <f>IF(AN118=0,L118,0)</f>
        <v>0</v>
      </c>
      <c r="AK118" s="34">
        <f>IF(AN118=12,L118,0)</f>
        <v>0</v>
      </c>
      <c r="AL118" s="34">
        <f>IF(AN118=21,L118,0)</f>
        <v>0</v>
      </c>
      <c r="AN118" s="34">
        <v>21</v>
      </c>
      <c r="AO118" s="34">
        <f>H118*0.612216288</f>
        <v>0</v>
      </c>
      <c r="AP118" s="34">
        <f>H118*(1-0.612216288)</f>
        <v>0</v>
      </c>
      <c r="AQ118" s="35" t="s">
        <v>55</v>
      </c>
      <c r="AV118" s="34">
        <f>AW118+AX118</f>
        <v>0</v>
      </c>
      <c r="AW118" s="34">
        <f>G118*AO118</f>
        <v>0</v>
      </c>
      <c r="AX118" s="34">
        <f>G118*AP118</f>
        <v>0</v>
      </c>
      <c r="AY118" s="35" t="s">
        <v>273</v>
      </c>
      <c r="AZ118" s="35" t="s">
        <v>227</v>
      </c>
      <c r="BA118" s="11" t="s">
        <v>62</v>
      </c>
      <c r="BC118" s="34">
        <f>AW118+AX118</f>
        <v>0</v>
      </c>
      <c r="BD118" s="34">
        <f>H118/(100-BE118)*100</f>
        <v>0</v>
      </c>
      <c r="BE118" s="34">
        <v>0</v>
      </c>
      <c r="BF118" s="34">
        <f>O118</f>
        <v>5.1262328699999999</v>
      </c>
      <c r="BH118" s="34">
        <f>G118*AO118</f>
        <v>0</v>
      </c>
      <c r="BI118" s="34">
        <f>G118*AP118</f>
        <v>0</v>
      </c>
      <c r="BJ118" s="34">
        <f>G118*H118</f>
        <v>0</v>
      </c>
      <c r="BK118" s="34"/>
      <c r="BL118" s="34">
        <v>57</v>
      </c>
      <c r="BW118" s="34" t="str">
        <f>I118</f>
        <v>21</v>
      </c>
    </row>
    <row r="119" spans="1:75" x14ac:dyDescent="0.25">
      <c r="A119" s="37"/>
      <c r="D119" s="38" t="s">
        <v>285</v>
      </c>
      <c r="E119" s="39" t="s">
        <v>286</v>
      </c>
      <c r="G119" s="40">
        <v>39.939</v>
      </c>
      <c r="P119" s="41"/>
    </row>
    <row r="120" spans="1:75" x14ac:dyDescent="0.25">
      <c r="A120" s="37"/>
      <c r="D120" s="38" t="s">
        <v>92</v>
      </c>
      <c r="E120" s="39" t="s">
        <v>287</v>
      </c>
      <c r="G120" s="40">
        <v>9.48</v>
      </c>
      <c r="P120" s="41"/>
    </row>
    <row r="121" spans="1:75" ht="13.5" customHeight="1" x14ac:dyDescent="0.25">
      <c r="A121" s="2" t="s">
        <v>288</v>
      </c>
      <c r="B121" s="3" t="s">
        <v>51</v>
      </c>
      <c r="C121" s="3" t="s">
        <v>289</v>
      </c>
      <c r="D121" s="76" t="s">
        <v>290</v>
      </c>
      <c r="E121" s="77"/>
      <c r="F121" s="3" t="s">
        <v>58</v>
      </c>
      <c r="G121" s="34">
        <v>385.39</v>
      </c>
      <c r="H121" s="34"/>
      <c r="I121" s="35" t="s">
        <v>59</v>
      </c>
      <c r="J121" s="34">
        <f>G121*AO121</f>
        <v>0</v>
      </c>
      <c r="K121" s="34">
        <f>G121*AP121</f>
        <v>0</v>
      </c>
      <c r="L121" s="34">
        <f>G121*H121</f>
        <v>0</v>
      </c>
      <c r="M121" s="34">
        <f>L121*(1+BW121/100)</f>
        <v>0</v>
      </c>
      <c r="N121" s="34">
        <v>0.10373</v>
      </c>
      <c r="O121" s="34">
        <f>G121*N121</f>
        <v>39.9765047</v>
      </c>
      <c r="P121" s="36" t="s">
        <v>779</v>
      </c>
      <c r="Z121" s="34">
        <f>IF(AQ121="5",BJ121,0)</f>
        <v>0</v>
      </c>
      <c r="AB121" s="34">
        <f>IF(AQ121="1",BH121,0)</f>
        <v>0</v>
      </c>
      <c r="AC121" s="34">
        <f>IF(AQ121="1",BI121,0)</f>
        <v>0</v>
      </c>
      <c r="AD121" s="34">
        <f>IF(AQ121="7",BH121,0)</f>
        <v>0</v>
      </c>
      <c r="AE121" s="34">
        <f>IF(AQ121="7",BI121,0)</f>
        <v>0</v>
      </c>
      <c r="AF121" s="34">
        <f>IF(AQ121="2",BH121,0)</f>
        <v>0</v>
      </c>
      <c r="AG121" s="34">
        <f>IF(AQ121="2",BI121,0)</f>
        <v>0</v>
      </c>
      <c r="AH121" s="34">
        <f>IF(AQ121="0",BJ121,0)</f>
        <v>0</v>
      </c>
      <c r="AI121" s="11" t="s">
        <v>51</v>
      </c>
      <c r="AJ121" s="34">
        <f>IF(AN121=0,L121,0)</f>
        <v>0</v>
      </c>
      <c r="AK121" s="34">
        <f>IF(AN121=12,L121,0)</f>
        <v>0</v>
      </c>
      <c r="AL121" s="34">
        <f>IF(AN121=21,L121,0)</f>
        <v>0</v>
      </c>
      <c r="AN121" s="34">
        <v>21</v>
      </c>
      <c r="AO121" s="34">
        <f>H121*0.649106574</f>
        <v>0</v>
      </c>
      <c r="AP121" s="34">
        <f>H121*(1-0.649106574)</f>
        <v>0</v>
      </c>
      <c r="AQ121" s="35" t="s">
        <v>55</v>
      </c>
      <c r="AV121" s="34">
        <f>AW121+AX121</f>
        <v>0</v>
      </c>
      <c r="AW121" s="34">
        <f>G121*AO121</f>
        <v>0</v>
      </c>
      <c r="AX121" s="34">
        <f>G121*AP121</f>
        <v>0</v>
      </c>
      <c r="AY121" s="35" t="s">
        <v>273</v>
      </c>
      <c r="AZ121" s="35" t="s">
        <v>227</v>
      </c>
      <c r="BA121" s="11" t="s">
        <v>62</v>
      </c>
      <c r="BC121" s="34">
        <f>AW121+AX121</f>
        <v>0</v>
      </c>
      <c r="BD121" s="34">
        <f>H121/(100-BE121)*100</f>
        <v>0</v>
      </c>
      <c r="BE121" s="34">
        <v>0</v>
      </c>
      <c r="BF121" s="34">
        <f>O121</f>
        <v>39.9765047</v>
      </c>
      <c r="BH121" s="34">
        <f>G121*AO121</f>
        <v>0</v>
      </c>
      <c r="BI121" s="34">
        <f>G121*AP121</f>
        <v>0</v>
      </c>
      <c r="BJ121" s="34">
        <f>G121*H121</f>
        <v>0</v>
      </c>
      <c r="BK121" s="34"/>
      <c r="BL121" s="34">
        <v>57</v>
      </c>
      <c r="BW121" s="34" t="str">
        <f>I121</f>
        <v>21</v>
      </c>
    </row>
    <row r="122" spans="1:75" ht="13.5" customHeight="1" x14ac:dyDescent="0.25">
      <c r="A122" s="37"/>
      <c r="D122" s="132" t="s">
        <v>258</v>
      </c>
      <c r="E122" s="133"/>
      <c r="F122" s="133"/>
      <c r="G122" s="133"/>
      <c r="H122" s="133"/>
      <c r="I122" s="133"/>
      <c r="J122" s="133"/>
      <c r="K122" s="133"/>
      <c r="L122" s="133"/>
      <c r="M122" s="133"/>
      <c r="N122" s="133"/>
      <c r="O122" s="133"/>
      <c r="P122" s="134"/>
    </row>
    <row r="123" spans="1:75" x14ac:dyDescent="0.25">
      <c r="A123" s="37"/>
      <c r="D123" s="38" t="s">
        <v>229</v>
      </c>
      <c r="E123" s="39" t="s">
        <v>291</v>
      </c>
      <c r="G123" s="40">
        <v>385.39</v>
      </c>
      <c r="P123" s="41"/>
    </row>
    <row r="124" spans="1:75" x14ac:dyDescent="0.25">
      <c r="A124" s="30" t="s">
        <v>50</v>
      </c>
      <c r="B124" s="31" t="s">
        <v>51</v>
      </c>
      <c r="C124" s="31" t="s">
        <v>292</v>
      </c>
      <c r="D124" s="130" t="s">
        <v>293</v>
      </c>
      <c r="E124" s="131"/>
      <c r="F124" s="32" t="s">
        <v>3</v>
      </c>
      <c r="G124" s="32" t="s">
        <v>3</v>
      </c>
      <c r="H124" s="32" t="s">
        <v>3</v>
      </c>
      <c r="I124" s="32" t="s">
        <v>3</v>
      </c>
      <c r="J124" s="1">
        <f>SUM(J125:J125)</f>
        <v>0</v>
      </c>
      <c r="K124" s="1">
        <f>SUM(K125:K125)</f>
        <v>0</v>
      </c>
      <c r="L124" s="1">
        <f>SUM(L125:L125)</f>
        <v>0</v>
      </c>
      <c r="M124" s="1">
        <f>SUM(M125:M125)</f>
        <v>0</v>
      </c>
      <c r="N124" s="11" t="s">
        <v>50</v>
      </c>
      <c r="O124" s="1">
        <f>SUM(O125:O125)</f>
        <v>0.33340730000000002</v>
      </c>
      <c r="P124" s="33" t="s">
        <v>50</v>
      </c>
      <c r="AI124" s="11" t="s">
        <v>51</v>
      </c>
      <c r="AS124" s="1">
        <f>SUM(AJ125:AJ125)</f>
        <v>0</v>
      </c>
      <c r="AT124" s="1">
        <f>SUM(AK125:AK125)</f>
        <v>0</v>
      </c>
      <c r="AU124" s="1">
        <f>SUM(AL125:AL125)</f>
        <v>0</v>
      </c>
    </row>
    <row r="125" spans="1:75" ht="13.5" customHeight="1" x14ac:dyDescent="0.25">
      <c r="A125" s="2" t="s">
        <v>294</v>
      </c>
      <c r="B125" s="3" t="s">
        <v>51</v>
      </c>
      <c r="C125" s="3" t="s">
        <v>295</v>
      </c>
      <c r="D125" s="76" t="s">
        <v>296</v>
      </c>
      <c r="E125" s="77"/>
      <c r="F125" s="3" t="s">
        <v>127</v>
      </c>
      <c r="G125" s="34">
        <v>1.115</v>
      </c>
      <c r="H125" s="34"/>
      <c r="I125" s="35" t="s">
        <v>59</v>
      </c>
      <c r="J125" s="34">
        <f>G125*AO125</f>
        <v>0</v>
      </c>
      <c r="K125" s="34">
        <f>G125*AP125</f>
        <v>0</v>
      </c>
      <c r="L125" s="34">
        <f>G125*H125</f>
        <v>0</v>
      </c>
      <c r="M125" s="34">
        <f>L125*(1+BW125/100)</f>
        <v>0</v>
      </c>
      <c r="N125" s="34">
        <v>0.29902000000000001</v>
      </c>
      <c r="O125" s="34">
        <f>G125*N125</f>
        <v>0.33340730000000002</v>
      </c>
      <c r="P125" s="36" t="s">
        <v>50</v>
      </c>
      <c r="Z125" s="34">
        <f>IF(AQ125="5",BJ125,0)</f>
        <v>0</v>
      </c>
      <c r="AB125" s="34">
        <f>IF(AQ125="1",BH125,0)</f>
        <v>0</v>
      </c>
      <c r="AC125" s="34">
        <f>IF(AQ125="1",BI125,0)</f>
        <v>0</v>
      </c>
      <c r="AD125" s="34">
        <f>IF(AQ125="7",BH125,0)</f>
        <v>0</v>
      </c>
      <c r="AE125" s="34">
        <f>IF(AQ125="7",BI125,0)</f>
        <v>0</v>
      </c>
      <c r="AF125" s="34">
        <f>IF(AQ125="2",BH125,0)</f>
        <v>0</v>
      </c>
      <c r="AG125" s="34">
        <f>IF(AQ125="2",BI125,0)</f>
        <v>0</v>
      </c>
      <c r="AH125" s="34">
        <f>IF(AQ125="0",BJ125,0)</f>
        <v>0</v>
      </c>
      <c r="AI125" s="11" t="s">
        <v>51</v>
      </c>
      <c r="AJ125" s="34">
        <f>IF(AN125=0,L125,0)</f>
        <v>0</v>
      </c>
      <c r="AK125" s="34">
        <f>IF(AN125=12,L125,0)</f>
        <v>0</v>
      </c>
      <c r="AL125" s="34">
        <f>IF(AN125=21,L125,0)</f>
        <v>0</v>
      </c>
      <c r="AN125" s="34">
        <v>21</v>
      </c>
      <c r="AO125" s="34">
        <f>H125*0</f>
        <v>0</v>
      </c>
      <c r="AP125" s="34">
        <f>H125*(1-0)</f>
        <v>0</v>
      </c>
      <c r="AQ125" s="35" t="s">
        <v>55</v>
      </c>
      <c r="AV125" s="34">
        <f>AW125+AX125</f>
        <v>0</v>
      </c>
      <c r="AW125" s="34">
        <f>G125*AO125</f>
        <v>0</v>
      </c>
      <c r="AX125" s="34">
        <f>G125*AP125</f>
        <v>0</v>
      </c>
      <c r="AY125" s="35" t="s">
        <v>297</v>
      </c>
      <c r="AZ125" s="35" t="s">
        <v>227</v>
      </c>
      <c r="BA125" s="11" t="s">
        <v>62</v>
      </c>
      <c r="BC125" s="34">
        <f>AW125+AX125</f>
        <v>0</v>
      </c>
      <c r="BD125" s="34">
        <f>H125/(100-BE125)*100</f>
        <v>0</v>
      </c>
      <c r="BE125" s="34">
        <v>0</v>
      </c>
      <c r="BF125" s="34">
        <f>O125</f>
        <v>0.33340730000000002</v>
      </c>
      <c r="BH125" s="34">
        <f>G125*AO125</f>
        <v>0</v>
      </c>
      <c r="BI125" s="34">
        <f>G125*AP125</f>
        <v>0</v>
      </c>
      <c r="BJ125" s="34">
        <f>G125*H125</f>
        <v>0</v>
      </c>
      <c r="BK125" s="34"/>
      <c r="BL125" s="34">
        <v>581</v>
      </c>
      <c r="BW125" s="34" t="str">
        <f>I125</f>
        <v>21</v>
      </c>
    </row>
    <row r="126" spans="1:75" x14ac:dyDescent="0.25">
      <c r="A126" s="37"/>
      <c r="D126" s="38" t="s">
        <v>298</v>
      </c>
      <c r="E126" s="39" t="s">
        <v>299</v>
      </c>
      <c r="G126" s="40">
        <v>1.115</v>
      </c>
      <c r="P126" s="41"/>
    </row>
    <row r="127" spans="1:75" x14ac:dyDescent="0.25">
      <c r="A127" s="30" t="s">
        <v>50</v>
      </c>
      <c r="B127" s="31" t="s">
        <v>51</v>
      </c>
      <c r="C127" s="31" t="s">
        <v>300</v>
      </c>
      <c r="D127" s="130" t="s">
        <v>301</v>
      </c>
      <c r="E127" s="131"/>
      <c r="F127" s="32" t="s">
        <v>3</v>
      </c>
      <c r="G127" s="32" t="s">
        <v>3</v>
      </c>
      <c r="H127" s="32"/>
      <c r="I127" s="32" t="s">
        <v>3</v>
      </c>
      <c r="J127" s="1">
        <f>SUM(J128:J206)</f>
        <v>0</v>
      </c>
      <c r="K127" s="1">
        <f>SUM(K128:K206)</f>
        <v>0</v>
      </c>
      <c r="L127" s="1">
        <f>SUM(L128:L206)</f>
        <v>0</v>
      </c>
      <c r="M127" s="1">
        <f>SUM(M128:M206)</f>
        <v>0</v>
      </c>
      <c r="N127" s="11" t="s">
        <v>50</v>
      </c>
      <c r="O127" s="1">
        <f>SUM(O128:O206)</f>
        <v>88.743828329999985</v>
      </c>
      <c r="P127" s="33" t="s">
        <v>50</v>
      </c>
      <c r="AI127" s="11" t="s">
        <v>51</v>
      </c>
      <c r="AS127" s="1">
        <f>SUM(AJ128:AJ206)</f>
        <v>0</v>
      </c>
      <c r="AT127" s="1">
        <f>SUM(AK128:AK206)</f>
        <v>0</v>
      </c>
      <c r="AU127" s="1">
        <f>SUM(AL128:AL206)</f>
        <v>0</v>
      </c>
    </row>
    <row r="128" spans="1:75" ht="13.5" customHeight="1" x14ac:dyDescent="0.25">
      <c r="A128" s="2" t="s">
        <v>302</v>
      </c>
      <c r="B128" s="3" t="s">
        <v>51</v>
      </c>
      <c r="C128" s="3" t="s">
        <v>303</v>
      </c>
      <c r="D128" s="76" t="s">
        <v>304</v>
      </c>
      <c r="E128" s="77"/>
      <c r="F128" s="3" t="s">
        <v>58</v>
      </c>
      <c r="G128" s="34">
        <v>163.59800000000001</v>
      </c>
      <c r="H128" s="34"/>
      <c r="I128" s="35" t="s">
        <v>59</v>
      </c>
      <c r="J128" s="34">
        <f>G128*AO128</f>
        <v>0</v>
      </c>
      <c r="K128" s="34">
        <f>G128*AP128</f>
        <v>0</v>
      </c>
      <c r="L128" s="34">
        <f>G128*H128</f>
        <v>0</v>
      </c>
      <c r="M128" s="34">
        <f>L128*(1+BW128/100)</f>
        <v>0</v>
      </c>
      <c r="N128" s="34">
        <v>5.5449999999999999E-2</v>
      </c>
      <c r="O128" s="34">
        <f>G128*N128</f>
        <v>9.0715091000000001</v>
      </c>
      <c r="P128" s="36" t="s">
        <v>779</v>
      </c>
      <c r="Z128" s="34">
        <f>IF(AQ128="5",BJ128,0)</f>
        <v>0</v>
      </c>
      <c r="AB128" s="34">
        <f>IF(AQ128="1",BH128,0)</f>
        <v>0</v>
      </c>
      <c r="AC128" s="34">
        <f>IF(AQ128="1",BI128,0)</f>
        <v>0</v>
      </c>
      <c r="AD128" s="34">
        <f>IF(AQ128="7",BH128,0)</f>
        <v>0</v>
      </c>
      <c r="AE128" s="34">
        <f>IF(AQ128="7",BI128,0)</f>
        <v>0</v>
      </c>
      <c r="AF128" s="34">
        <f>IF(AQ128="2",BH128,0)</f>
        <v>0</v>
      </c>
      <c r="AG128" s="34">
        <f>IF(AQ128="2",BI128,0)</f>
        <v>0</v>
      </c>
      <c r="AH128" s="34">
        <f>IF(AQ128="0",BJ128,0)</f>
        <v>0</v>
      </c>
      <c r="AI128" s="11" t="s">
        <v>51</v>
      </c>
      <c r="AJ128" s="34">
        <f>IF(AN128=0,L128,0)</f>
        <v>0</v>
      </c>
      <c r="AK128" s="34">
        <f>IF(AN128=12,L128,0)</f>
        <v>0</v>
      </c>
      <c r="AL128" s="34">
        <f>IF(AN128=21,L128,0)</f>
        <v>0</v>
      </c>
      <c r="AN128" s="34">
        <v>21</v>
      </c>
      <c r="AO128" s="34">
        <f>H128*0.13703474</f>
        <v>0</v>
      </c>
      <c r="AP128" s="34">
        <f>H128*(1-0.13703474)</f>
        <v>0</v>
      </c>
      <c r="AQ128" s="35" t="s">
        <v>55</v>
      </c>
      <c r="AV128" s="34">
        <f>AW128+AX128</f>
        <v>0</v>
      </c>
      <c r="AW128" s="34">
        <f>G128*AO128</f>
        <v>0</v>
      </c>
      <c r="AX128" s="34">
        <f>G128*AP128</f>
        <v>0</v>
      </c>
      <c r="AY128" s="35" t="s">
        <v>305</v>
      </c>
      <c r="AZ128" s="35" t="s">
        <v>227</v>
      </c>
      <c r="BA128" s="11" t="s">
        <v>62</v>
      </c>
      <c r="BC128" s="34">
        <f>AW128+AX128</f>
        <v>0</v>
      </c>
      <c r="BD128" s="34">
        <f>H128/(100-BE128)*100</f>
        <v>0</v>
      </c>
      <c r="BE128" s="34">
        <v>0</v>
      </c>
      <c r="BF128" s="34">
        <f>O128</f>
        <v>9.0715091000000001</v>
      </c>
      <c r="BH128" s="34">
        <f>G128*AO128</f>
        <v>0</v>
      </c>
      <c r="BI128" s="34">
        <f>G128*AP128</f>
        <v>0</v>
      </c>
      <c r="BJ128" s="34">
        <f>G128*H128</f>
        <v>0</v>
      </c>
      <c r="BK128" s="34"/>
      <c r="BL128" s="34">
        <v>59</v>
      </c>
      <c r="BW128" s="34" t="str">
        <f>I128</f>
        <v>21</v>
      </c>
    </row>
    <row r="129" spans="1:75" x14ac:dyDescent="0.25">
      <c r="A129" s="37"/>
      <c r="D129" s="38" t="s">
        <v>306</v>
      </c>
      <c r="E129" s="39" t="s">
        <v>307</v>
      </c>
      <c r="G129" s="40">
        <v>153.26499999999999</v>
      </c>
      <c r="P129" s="41"/>
    </row>
    <row r="130" spans="1:75" x14ac:dyDescent="0.25">
      <c r="A130" s="37"/>
      <c r="D130" s="38" t="s">
        <v>308</v>
      </c>
      <c r="E130" s="39" t="s">
        <v>309</v>
      </c>
      <c r="G130" s="40">
        <v>10.333</v>
      </c>
      <c r="P130" s="41"/>
    </row>
    <row r="131" spans="1:75" ht="13.5" customHeight="1" x14ac:dyDescent="0.25">
      <c r="A131" s="42" t="s">
        <v>201</v>
      </c>
      <c r="B131" s="43" t="s">
        <v>51</v>
      </c>
      <c r="C131" s="43" t="s">
        <v>310</v>
      </c>
      <c r="D131" s="135" t="s">
        <v>311</v>
      </c>
      <c r="E131" s="136"/>
      <c r="F131" s="43" t="s">
        <v>58</v>
      </c>
      <c r="G131" s="44">
        <v>157.863</v>
      </c>
      <c r="H131" s="44"/>
      <c r="I131" s="45" t="s">
        <v>59</v>
      </c>
      <c r="J131" s="44">
        <f>G131*AO131</f>
        <v>0</v>
      </c>
      <c r="K131" s="44">
        <f>G131*AP131</f>
        <v>0</v>
      </c>
      <c r="L131" s="44">
        <f>G131*H131</f>
        <v>0</v>
      </c>
      <c r="M131" s="44">
        <f>L131*(1+BW131/100)</f>
        <v>0</v>
      </c>
      <c r="N131" s="44">
        <v>0.13150000000000001</v>
      </c>
      <c r="O131" s="44">
        <f>G131*N131</f>
        <v>20.7589845</v>
      </c>
      <c r="P131" s="46" t="s">
        <v>779</v>
      </c>
      <c r="Z131" s="34">
        <f>IF(AQ131="5",BJ131,0)</f>
        <v>0</v>
      </c>
      <c r="AB131" s="34">
        <f>IF(AQ131="1",BH131,0)</f>
        <v>0</v>
      </c>
      <c r="AC131" s="34">
        <f>IF(AQ131="1",BI131,0)</f>
        <v>0</v>
      </c>
      <c r="AD131" s="34">
        <f>IF(AQ131="7",BH131,0)</f>
        <v>0</v>
      </c>
      <c r="AE131" s="34">
        <f>IF(AQ131="7",BI131,0)</f>
        <v>0</v>
      </c>
      <c r="AF131" s="34">
        <f>IF(AQ131="2",BH131,0)</f>
        <v>0</v>
      </c>
      <c r="AG131" s="34">
        <f>IF(AQ131="2",BI131,0)</f>
        <v>0</v>
      </c>
      <c r="AH131" s="34">
        <f>IF(AQ131="0",BJ131,0)</f>
        <v>0</v>
      </c>
      <c r="AI131" s="11" t="s">
        <v>51</v>
      </c>
      <c r="AJ131" s="44">
        <f>IF(AN131=0,L131,0)</f>
        <v>0</v>
      </c>
      <c r="AK131" s="44">
        <f>IF(AN131=12,L131,0)</f>
        <v>0</v>
      </c>
      <c r="AL131" s="44">
        <f>IF(AN131=21,L131,0)</f>
        <v>0</v>
      </c>
      <c r="AN131" s="34">
        <v>21</v>
      </c>
      <c r="AO131" s="34">
        <f>H131*1</f>
        <v>0</v>
      </c>
      <c r="AP131" s="34">
        <f>H131*(1-1)</f>
        <v>0</v>
      </c>
      <c r="AQ131" s="45" t="s">
        <v>55</v>
      </c>
      <c r="AV131" s="34">
        <f>AW131+AX131</f>
        <v>0</v>
      </c>
      <c r="AW131" s="34">
        <f>G131*AO131</f>
        <v>0</v>
      </c>
      <c r="AX131" s="34">
        <f>G131*AP131</f>
        <v>0</v>
      </c>
      <c r="AY131" s="35" t="s">
        <v>305</v>
      </c>
      <c r="AZ131" s="35" t="s">
        <v>227</v>
      </c>
      <c r="BA131" s="11" t="s">
        <v>62</v>
      </c>
      <c r="BC131" s="34">
        <f>AW131+AX131</f>
        <v>0</v>
      </c>
      <c r="BD131" s="34">
        <f>H131/(100-BE131)*100</f>
        <v>0</v>
      </c>
      <c r="BE131" s="34">
        <v>0</v>
      </c>
      <c r="BF131" s="34">
        <f>O131</f>
        <v>20.7589845</v>
      </c>
      <c r="BH131" s="44">
        <f>G131*AO131</f>
        <v>0</v>
      </c>
      <c r="BI131" s="44">
        <f>G131*AP131</f>
        <v>0</v>
      </c>
      <c r="BJ131" s="44">
        <f>G131*H131</f>
        <v>0</v>
      </c>
      <c r="BK131" s="44"/>
      <c r="BL131" s="34">
        <v>59</v>
      </c>
      <c r="BW131" s="34" t="str">
        <f>I131</f>
        <v>21</v>
      </c>
    </row>
    <row r="132" spans="1:75" x14ac:dyDescent="0.25">
      <c r="A132" s="37"/>
      <c r="D132" s="38" t="s">
        <v>312</v>
      </c>
      <c r="E132" s="39" t="s">
        <v>50</v>
      </c>
      <c r="G132" s="40">
        <v>153.26499999999999</v>
      </c>
      <c r="P132" s="41"/>
    </row>
    <row r="133" spans="1:75" x14ac:dyDescent="0.25">
      <c r="A133" s="37"/>
      <c r="D133" s="38" t="s">
        <v>313</v>
      </c>
      <c r="E133" s="39" t="s">
        <v>50</v>
      </c>
      <c r="G133" s="40">
        <v>4.5979999999999999</v>
      </c>
      <c r="P133" s="41"/>
    </row>
    <row r="134" spans="1:75" ht="13.5" customHeight="1" x14ac:dyDescent="0.25">
      <c r="A134" s="42" t="s">
        <v>314</v>
      </c>
      <c r="B134" s="43" t="s">
        <v>51</v>
      </c>
      <c r="C134" s="43" t="s">
        <v>315</v>
      </c>
      <c r="D134" s="135" t="s">
        <v>316</v>
      </c>
      <c r="E134" s="136"/>
      <c r="F134" s="43" t="s">
        <v>58</v>
      </c>
      <c r="G134" s="44">
        <v>10.643000000000001</v>
      </c>
      <c r="H134" s="44"/>
      <c r="I134" s="45" t="s">
        <v>59</v>
      </c>
      <c r="J134" s="44">
        <f>G134*AO134</f>
        <v>0</v>
      </c>
      <c r="K134" s="44">
        <f>G134*AP134</f>
        <v>0</v>
      </c>
      <c r="L134" s="44">
        <f>G134*H134</f>
        <v>0</v>
      </c>
      <c r="M134" s="44">
        <f>L134*(1+BW134/100)</f>
        <v>0</v>
      </c>
      <c r="N134" s="44">
        <v>0.129</v>
      </c>
      <c r="O134" s="44">
        <f>G134*N134</f>
        <v>1.3729470000000001</v>
      </c>
      <c r="P134" s="46" t="s">
        <v>779</v>
      </c>
      <c r="Z134" s="34">
        <f>IF(AQ134="5",BJ134,0)</f>
        <v>0</v>
      </c>
      <c r="AB134" s="34">
        <f>IF(AQ134="1",BH134,0)</f>
        <v>0</v>
      </c>
      <c r="AC134" s="34">
        <f>IF(AQ134="1",BI134,0)</f>
        <v>0</v>
      </c>
      <c r="AD134" s="34">
        <f>IF(AQ134="7",BH134,0)</f>
        <v>0</v>
      </c>
      <c r="AE134" s="34">
        <f>IF(AQ134="7",BI134,0)</f>
        <v>0</v>
      </c>
      <c r="AF134" s="34">
        <f>IF(AQ134="2",BH134,0)</f>
        <v>0</v>
      </c>
      <c r="AG134" s="34">
        <f>IF(AQ134="2",BI134,0)</f>
        <v>0</v>
      </c>
      <c r="AH134" s="34">
        <f>IF(AQ134="0",BJ134,0)</f>
        <v>0</v>
      </c>
      <c r="AI134" s="11" t="s">
        <v>51</v>
      </c>
      <c r="AJ134" s="44">
        <f>IF(AN134=0,L134,0)</f>
        <v>0</v>
      </c>
      <c r="AK134" s="44">
        <f>IF(AN134=12,L134,0)</f>
        <v>0</v>
      </c>
      <c r="AL134" s="44">
        <f>IF(AN134=21,L134,0)</f>
        <v>0</v>
      </c>
      <c r="AN134" s="34">
        <v>21</v>
      </c>
      <c r="AO134" s="34">
        <f>H134*1</f>
        <v>0</v>
      </c>
      <c r="AP134" s="34">
        <f>H134*(1-1)</f>
        <v>0</v>
      </c>
      <c r="AQ134" s="45" t="s">
        <v>55</v>
      </c>
      <c r="AV134" s="34">
        <f>AW134+AX134</f>
        <v>0</v>
      </c>
      <c r="AW134" s="34">
        <f>G134*AO134</f>
        <v>0</v>
      </c>
      <c r="AX134" s="34">
        <f>G134*AP134</f>
        <v>0</v>
      </c>
      <c r="AY134" s="35" t="s">
        <v>305</v>
      </c>
      <c r="AZ134" s="35" t="s">
        <v>227</v>
      </c>
      <c r="BA134" s="11" t="s">
        <v>62</v>
      </c>
      <c r="BC134" s="34">
        <f>AW134+AX134</f>
        <v>0</v>
      </c>
      <c r="BD134" s="34">
        <f>H134/(100-BE134)*100</f>
        <v>0</v>
      </c>
      <c r="BE134" s="34">
        <v>0</v>
      </c>
      <c r="BF134" s="34">
        <f>O134</f>
        <v>1.3729470000000001</v>
      </c>
      <c r="BH134" s="44">
        <f>G134*AO134</f>
        <v>0</v>
      </c>
      <c r="BI134" s="44">
        <f>G134*AP134</f>
        <v>0</v>
      </c>
      <c r="BJ134" s="44">
        <f>G134*H134</f>
        <v>0</v>
      </c>
      <c r="BK134" s="44"/>
      <c r="BL134" s="34">
        <v>59</v>
      </c>
      <c r="BW134" s="34" t="str">
        <f>I134</f>
        <v>21</v>
      </c>
    </row>
    <row r="135" spans="1:75" x14ac:dyDescent="0.25">
      <c r="A135" s="37"/>
      <c r="D135" s="38" t="s">
        <v>317</v>
      </c>
      <c r="E135" s="39" t="s">
        <v>50</v>
      </c>
      <c r="G135" s="40">
        <v>10.333</v>
      </c>
      <c r="P135" s="41"/>
    </row>
    <row r="136" spans="1:75" x14ac:dyDescent="0.25">
      <c r="A136" s="37"/>
      <c r="D136" s="38" t="s">
        <v>318</v>
      </c>
      <c r="E136" s="39" t="s">
        <v>50</v>
      </c>
      <c r="G136" s="40">
        <v>0.31</v>
      </c>
      <c r="P136" s="41"/>
    </row>
    <row r="137" spans="1:75" ht="13.5" customHeight="1" x14ac:dyDescent="0.25">
      <c r="A137" s="2" t="s">
        <v>208</v>
      </c>
      <c r="B137" s="3" t="s">
        <v>51</v>
      </c>
      <c r="C137" s="3" t="s">
        <v>319</v>
      </c>
      <c r="D137" s="76" t="s">
        <v>320</v>
      </c>
      <c r="E137" s="77"/>
      <c r="F137" s="3" t="s">
        <v>58</v>
      </c>
      <c r="G137" s="34">
        <v>10.33</v>
      </c>
      <c r="H137" s="34"/>
      <c r="I137" s="35" t="s">
        <v>59</v>
      </c>
      <c r="J137" s="34">
        <f>G137*AO137</f>
        <v>0</v>
      </c>
      <c r="K137" s="34">
        <f>G137*AP137</f>
        <v>0</v>
      </c>
      <c r="L137" s="34">
        <f>G137*H137</f>
        <v>0</v>
      </c>
      <c r="M137" s="34">
        <f>L137*(1+BW137/100)</f>
        <v>0</v>
      </c>
      <c r="N137" s="34">
        <v>0</v>
      </c>
      <c r="O137" s="34">
        <f>G137*N137</f>
        <v>0</v>
      </c>
      <c r="P137" s="36" t="s">
        <v>779</v>
      </c>
      <c r="Z137" s="34">
        <f>IF(AQ137="5",BJ137,0)</f>
        <v>0</v>
      </c>
      <c r="AB137" s="34">
        <f>IF(AQ137="1",BH137,0)</f>
        <v>0</v>
      </c>
      <c r="AC137" s="34">
        <f>IF(AQ137="1",BI137,0)</f>
        <v>0</v>
      </c>
      <c r="AD137" s="34">
        <f>IF(AQ137="7",BH137,0)</f>
        <v>0</v>
      </c>
      <c r="AE137" s="34">
        <f>IF(AQ137="7",BI137,0)</f>
        <v>0</v>
      </c>
      <c r="AF137" s="34">
        <f>IF(AQ137="2",BH137,0)</f>
        <v>0</v>
      </c>
      <c r="AG137" s="34">
        <f>IF(AQ137="2",BI137,0)</f>
        <v>0</v>
      </c>
      <c r="AH137" s="34">
        <f>IF(AQ137="0",BJ137,0)</f>
        <v>0</v>
      </c>
      <c r="AI137" s="11" t="s">
        <v>51</v>
      </c>
      <c r="AJ137" s="34">
        <f>IF(AN137=0,L137,0)</f>
        <v>0</v>
      </c>
      <c r="AK137" s="34">
        <f>IF(AN137=12,L137,0)</f>
        <v>0</v>
      </c>
      <c r="AL137" s="34">
        <f>IF(AN137=21,L137,0)</f>
        <v>0</v>
      </c>
      <c r="AN137" s="34">
        <v>21</v>
      </c>
      <c r="AO137" s="34">
        <f>H137*0</f>
        <v>0</v>
      </c>
      <c r="AP137" s="34">
        <f>H137*(1-0)</f>
        <v>0</v>
      </c>
      <c r="AQ137" s="35" t="s">
        <v>55</v>
      </c>
      <c r="AV137" s="34">
        <f>AW137+AX137</f>
        <v>0</v>
      </c>
      <c r="AW137" s="34">
        <f>G137*AO137</f>
        <v>0</v>
      </c>
      <c r="AX137" s="34">
        <f>G137*AP137</f>
        <v>0</v>
      </c>
      <c r="AY137" s="35" t="s">
        <v>305</v>
      </c>
      <c r="AZ137" s="35" t="s">
        <v>227</v>
      </c>
      <c r="BA137" s="11" t="s">
        <v>62</v>
      </c>
      <c r="BC137" s="34">
        <f>AW137+AX137</f>
        <v>0</v>
      </c>
      <c r="BD137" s="34">
        <f>H137/(100-BE137)*100</f>
        <v>0</v>
      </c>
      <c r="BE137" s="34">
        <v>0</v>
      </c>
      <c r="BF137" s="34">
        <f>O137</f>
        <v>0</v>
      </c>
      <c r="BH137" s="34">
        <f>G137*AO137</f>
        <v>0</v>
      </c>
      <c r="BI137" s="34">
        <f>G137*AP137</f>
        <v>0</v>
      </c>
      <c r="BJ137" s="34">
        <f>G137*H137</f>
        <v>0</v>
      </c>
      <c r="BK137" s="34"/>
      <c r="BL137" s="34">
        <v>59</v>
      </c>
      <c r="BW137" s="34" t="str">
        <f>I137</f>
        <v>21</v>
      </c>
    </row>
    <row r="138" spans="1:75" ht="13.5" customHeight="1" x14ac:dyDescent="0.25">
      <c r="A138" s="2" t="s">
        <v>321</v>
      </c>
      <c r="B138" s="3" t="s">
        <v>51</v>
      </c>
      <c r="C138" s="3" t="s">
        <v>322</v>
      </c>
      <c r="D138" s="76" t="s">
        <v>323</v>
      </c>
      <c r="E138" s="77"/>
      <c r="F138" s="3" t="s">
        <v>58</v>
      </c>
      <c r="G138" s="34">
        <v>169.36600000000001</v>
      </c>
      <c r="H138" s="34"/>
      <c r="I138" s="35" t="s">
        <v>59</v>
      </c>
      <c r="J138" s="34">
        <f>G138*AO138</f>
        <v>0</v>
      </c>
      <c r="K138" s="34">
        <f>G138*AP138</f>
        <v>0</v>
      </c>
      <c r="L138" s="34">
        <f>G138*H138</f>
        <v>0</v>
      </c>
      <c r="M138" s="34">
        <f>L138*(1+BW138/100)</f>
        <v>0</v>
      </c>
      <c r="N138" s="34">
        <v>7.3899999999999993E-2</v>
      </c>
      <c r="O138" s="34">
        <f>G138*N138</f>
        <v>12.516147399999999</v>
      </c>
      <c r="P138" s="36" t="s">
        <v>779</v>
      </c>
      <c r="Z138" s="34">
        <f>IF(AQ138="5",BJ138,0)</f>
        <v>0</v>
      </c>
      <c r="AB138" s="34">
        <f>IF(AQ138="1",BH138,0)</f>
        <v>0</v>
      </c>
      <c r="AC138" s="34">
        <f>IF(AQ138="1",BI138,0)</f>
        <v>0</v>
      </c>
      <c r="AD138" s="34">
        <f>IF(AQ138="7",BH138,0)</f>
        <v>0</v>
      </c>
      <c r="AE138" s="34">
        <f>IF(AQ138="7",BI138,0)</f>
        <v>0</v>
      </c>
      <c r="AF138" s="34">
        <f>IF(AQ138="2",BH138,0)</f>
        <v>0</v>
      </c>
      <c r="AG138" s="34">
        <f>IF(AQ138="2",BI138,0)</f>
        <v>0</v>
      </c>
      <c r="AH138" s="34">
        <f>IF(AQ138="0",BJ138,0)</f>
        <v>0</v>
      </c>
      <c r="AI138" s="11" t="s">
        <v>51</v>
      </c>
      <c r="AJ138" s="34">
        <f>IF(AN138=0,L138,0)</f>
        <v>0</v>
      </c>
      <c r="AK138" s="34">
        <f>IF(AN138=12,L138,0)</f>
        <v>0</v>
      </c>
      <c r="AL138" s="34">
        <f>IF(AN138=21,L138,0)</f>
        <v>0</v>
      </c>
      <c r="AN138" s="34">
        <v>21</v>
      </c>
      <c r="AO138" s="34">
        <f>H138*0.163482182</f>
        <v>0</v>
      </c>
      <c r="AP138" s="34">
        <f>H138*(1-0.163482182)</f>
        <v>0</v>
      </c>
      <c r="AQ138" s="35" t="s">
        <v>55</v>
      </c>
      <c r="AV138" s="34">
        <f>AW138+AX138</f>
        <v>0</v>
      </c>
      <c r="AW138" s="34">
        <f>G138*AO138</f>
        <v>0</v>
      </c>
      <c r="AX138" s="34">
        <f>G138*AP138</f>
        <v>0</v>
      </c>
      <c r="AY138" s="35" t="s">
        <v>305</v>
      </c>
      <c r="AZ138" s="35" t="s">
        <v>227</v>
      </c>
      <c r="BA138" s="11" t="s">
        <v>62</v>
      </c>
      <c r="BC138" s="34">
        <f>AW138+AX138</f>
        <v>0</v>
      </c>
      <c r="BD138" s="34">
        <f>H138/(100-BE138)*100</f>
        <v>0</v>
      </c>
      <c r="BE138" s="34">
        <v>0</v>
      </c>
      <c r="BF138" s="34">
        <f>O138</f>
        <v>12.516147399999999</v>
      </c>
      <c r="BH138" s="34">
        <f>G138*AO138</f>
        <v>0</v>
      </c>
      <c r="BI138" s="34">
        <f>G138*AP138</f>
        <v>0</v>
      </c>
      <c r="BJ138" s="34">
        <f>G138*H138</f>
        <v>0</v>
      </c>
      <c r="BK138" s="34"/>
      <c r="BL138" s="34">
        <v>59</v>
      </c>
      <c r="BW138" s="34" t="str">
        <f>I138</f>
        <v>21</v>
      </c>
    </row>
    <row r="139" spans="1:75" x14ac:dyDescent="0.25">
      <c r="A139" s="37"/>
      <c r="D139" s="38" t="s">
        <v>50</v>
      </c>
      <c r="E139" s="39" t="s">
        <v>324</v>
      </c>
      <c r="G139" s="40">
        <v>0</v>
      </c>
      <c r="P139" s="41"/>
    </row>
    <row r="140" spans="1:75" x14ac:dyDescent="0.25">
      <c r="A140" s="37"/>
      <c r="D140" s="38" t="s">
        <v>325</v>
      </c>
      <c r="E140" s="39" t="s">
        <v>50</v>
      </c>
      <c r="G140" s="40">
        <v>139.81200000000001</v>
      </c>
      <c r="P140" s="41"/>
    </row>
    <row r="141" spans="1:75" x14ac:dyDescent="0.25">
      <c r="A141" s="37"/>
      <c r="D141" s="38" t="s">
        <v>326</v>
      </c>
      <c r="E141" s="39" t="s">
        <v>50</v>
      </c>
      <c r="G141" s="40">
        <v>29.553999999999998</v>
      </c>
      <c r="P141" s="41"/>
    </row>
    <row r="142" spans="1:75" ht="13.5" customHeight="1" x14ac:dyDescent="0.25">
      <c r="A142" s="42" t="s">
        <v>327</v>
      </c>
      <c r="B142" s="43" t="s">
        <v>51</v>
      </c>
      <c r="C142" s="43" t="s">
        <v>328</v>
      </c>
      <c r="D142" s="135" t="s">
        <v>329</v>
      </c>
      <c r="E142" s="136"/>
      <c r="F142" s="43" t="s">
        <v>58</v>
      </c>
      <c r="G142" s="44">
        <v>174.45099999999999</v>
      </c>
      <c r="H142" s="44"/>
      <c r="I142" s="45" t="s">
        <v>59</v>
      </c>
      <c r="J142" s="44">
        <f>G142*AO142</f>
        <v>0</v>
      </c>
      <c r="K142" s="44">
        <f>G142*AP142</f>
        <v>0</v>
      </c>
      <c r="L142" s="44">
        <f>G142*H142</f>
        <v>0</v>
      </c>
      <c r="M142" s="44">
        <f>L142*(1+BW142/100)</f>
        <v>0</v>
      </c>
      <c r="N142" s="44">
        <v>0.17244999999999999</v>
      </c>
      <c r="O142" s="44">
        <f>G142*N142</f>
        <v>30.084074949999998</v>
      </c>
      <c r="P142" s="46" t="s">
        <v>779</v>
      </c>
      <c r="Z142" s="34">
        <f>IF(AQ142="5",BJ142,0)</f>
        <v>0</v>
      </c>
      <c r="AB142" s="34">
        <f>IF(AQ142="1",BH142,0)</f>
        <v>0</v>
      </c>
      <c r="AC142" s="34">
        <f>IF(AQ142="1",BI142,0)</f>
        <v>0</v>
      </c>
      <c r="AD142" s="34">
        <f>IF(AQ142="7",BH142,0)</f>
        <v>0</v>
      </c>
      <c r="AE142" s="34">
        <f>IF(AQ142="7",BI142,0)</f>
        <v>0</v>
      </c>
      <c r="AF142" s="34">
        <f>IF(AQ142="2",BH142,0)</f>
        <v>0</v>
      </c>
      <c r="AG142" s="34">
        <f>IF(AQ142="2",BI142,0)</f>
        <v>0</v>
      </c>
      <c r="AH142" s="34">
        <f>IF(AQ142="0",BJ142,0)</f>
        <v>0</v>
      </c>
      <c r="AI142" s="11" t="s">
        <v>51</v>
      </c>
      <c r="AJ142" s="44">
        <f>IF(AN142=0,L142,0)</f>
        <v>0</v>
      </c>
      <c r="AK142" s="44">
        <f>IF(AN142=12,L142,0)</f>
        <v>0</v>
      </c>
      <c r="AL142" s="44">
        <f>IF(AN142=21,L142,0)</f>
        <v>0</v>
      </c>
      <c r="AN142" s="34">
        <v>21</v>
      </c>
      <c r="AO142" s="34">
        <f>H142*1</f>
        <v>0</v>
      </c>
      <c r="AP142" s="34">
        <f>H142*(1-1)</f>
        <v>0</v>
      </c>
      <c r="AQ142" s="45" t="s">
        <v>55</v>
      </c>
      <c r="AV142" s="34">
        <f>AW142+AX142</f>
        <v>0</v>
      </c>
      <c r="AW142" s="34">
        <f>G142*AO142</f>
        <v>0</v>
      </c>
      <c r="AX142" s="34">
        <f>G142*AP142</f>
        <v>0</v>
      </c>
      <c r="AY142" s="35" t="s">
        <v>305</v>
      </c>
      <c r="AZ142" s="35" t="s">
        <v>227</v>
      </c>
      <c r="BA142" s="11" t="s">
        <v>62</v>
      </c>
      <c r="BC142" s="34">
        <f>AW142+AX142</f>
        <v>0</v>
      </c>
      <c r="BD142" s="34">
        <f>H142/(100-BE142)*100</f>
        <v>0</v>
      </c>
      <c r="BE142" s="34">
        <v>0</v>
      </c>
      <c r="BF142" s="34">
        <f>O142</f>
        <v>30.084074949999998</v>
      </c>
      <c r="BH142" s="44">
        <f>G142*AO142</f>
        <v>0</v>
      </c>
      <c r="BI142" s="44">
        <f>G142*AP142</f>
        <v>0</v>
      </c>
      <c r="BJ142" s="44">
        <f>G142*H142</f>
        <v>0</v>
      </c>
      <c r="BK142" s="44"/>
      <c r="BL142" s="34">
        <v>59</v>
      </c>
      <c r="BW142" s="34" t="str">
        <f>I142</f>
        <v>21</v>
      </c>
    </row>
    <row r="143" spans="1:75" x14ac:dyDescent="0.25">
      <c r="A143" s="37"/>
      <c r="D143" s="38" t="s">
        <v>330</v>
      </c>
      <c r="E143" s="39" t="s">
        <v>50</v>
      </c>
      <c r="G143" s="40">
        <v>169.37</v>
      </c>
      <c r="P143" s="41"/>
    </row>
    <row r="144" spans="1:75" x14ac:dyDescent="0.25">
      <c r="A144" s="37"/>
      <c r="D144" s="38" t="s">
        <v>331</v>
      </c>
      <c r="E144" s="39" t="s">
        <v>50</v>
      </c>
      <c r="G144" s="40">
        <v>5.0810000000000004</v>
      </c>
      <c r="P144" s="41"/>
    </row>
    <row r="145" spans="1:75" ht="13.5" customHeight="1" x14ac:dyDescent="0.25">
      <c r="A145" s="2" t="s">
        <v>332</v>
      </c>
      <c r="B145" s="3" t="s">
        <v>51</v>
      </c>
      <c r="C145" s="3" t="s">
        <v>333</v>
      </c>
      <c r="D145" s="76" t="s">
        <v>334</v>
      </c>
      <c r="E145" s="77"/>
      <c r="F145" s="3" t="s">
        <v>115</v>
      </c>
      <c r="G145" s="34">
        <v>240.386</v>
      </c>
      <c r="H145" s="34"/>
      <c r="I145" s="35" t="s">
        <v>59</v>
      </c>
      <c r="J145" s="34">
        <f>G145*AO145</f>
        <v>0</v>
      </c>
      <c r="K145" s="34">
        <f>G145*AP145</f>
        <v>0</v>
      </c>
      <c r="L145" s="34">
        <f>G145*H145</f>
        <v>0</v>
      </c>
      <c r="M145" s="34">
        <f>L145*(1+BW145/100)</f>
        <v>0</v>
      </c>
      <c r="N145" s="34">
        <v>3.3E-4</v>
      </c>
      <c r="O145" s="34">
        <f>G145*N145</f>
        <v>7.9327380000000003E-2</v>
      </c>
      <c r="P145" s="36" t="s">
        <v>779</v>
      </c>
      <c r="Z145" s="34">
        <f>IF(AQ145="5",BJ145,0)</f>
        <v>0</v>
      </c>
      <c r="AB145" s="34">
        <f>IF(AQ145="1",BH145,0)</f>
        <v>0</v>
      </c>
      <c r="AC145" s="34">
        <f>IF(AQ145="1",BI145,0)</f>
        <v>0</v>
      </c>
      <c r="AD145" s="34">
        <f>IF(AQ145="7",BH145,0)</f>
        <v>0</v>
      </c>
      <c r="AE145" s="34">
        <f>IF(AQ145="7",BI145,0)</f>
        <v>0</v>
      </c>
      <c r="AF145" s="34">
        <f>IF(AQ145="2",BH145,0)</f>
        <v>0</v>
      </c>
      <c r="AG145" s="34">
        <f>IF(AQ145="2",BI145,0)</f>
        <v>0</v>
      </c>
      <c r="AH145" s="34">
        <f>IF(AQ145="0",BJ145,0)</f>
        <v>0</v>
      </c>
      <c r="AI145" s="11" t="s">
        <v>51</v>
      </c>
      <c r="AJ145" s="34">
        <f>IF(AN145=0,L145,0)</f>
        <v>0</v>
      </c>
      <c r="AK145" s="34">
        <f>IF(AN145=12,L145,0)</f>
        <v>0</v>
      </c>
      <c r="AL145" s="34">
        <f>IF(AN145=21,L145,0)</f>
        <v>0</v>
      </c>
      <c r="AN145" s="34">
        <v>21</v>
      </c>
      <c r="AO145" s="34">
        <f>H145*0.051523473</f>
        <v>0</v>
      </c>
      <c r="AP145" s="34">
        <f>H145*(1-0.051523473)</f>
        <v>0</v>
      </c>
      <c r="AQ145" s="35" t="s">
        <v>55</v>
      </c>
      <c r="AV145" s="34">
        <f>AW145+AX145</f>
        <v>0</v>
      </c>
      <c r="AW145" s="34">
        <f>G145*AO145</f>
        <v>0</v>
      </c>
      <c r="AX145" s="34">
        <f>G145*AP145</f>
        <v>0</v>
      </c>
      <c r="AY145" s="35" t="s">
        <v>305</v>
      </c>
      <c r="AZ145" s="35" t="s">
        <v>227</v>
      </c>
      <c r="BA145" s="11" t="s">
        <v>62</v>
      </c>
      <c r="BC145" s="34">
        <f>AW145+AX145</f>
        <v>0</v>
      </c>
      <c r="BD145" s="34">
        <f>H145/(100-BE145)*100</f>
        <v>0</v>
      </c>
      <c r="BE145" s="34">
        <v>0</v>
      </c>
      <c r="BF145" s="34">
        <f>O145</f>
        <v>7.9327380000000003E-2</v>
      </c>
      <c r="BH145" s="34">
        <f>G145*AO145</f>
        <v>0</v>
      </c>
      <c r="BI145" s="34">
        <f>G145*AP145</f>
        <v>0</v>
      </c>
      <c r="BJ145" s="34">
        <f>G145*H145</f>
        <v>0</v>
      </c>
      <c r="BK145" s="34"/>
      <c r="BL145" s="34">
        <v>59</v>
      </c>
      <c r="BW145" s="34" t="str">
        <f>I145</f>
        <v>21</v>
      </c>
    </row>
    <row r="146" spans="1:75" x14ac:dyDescent="0.25">
      <c r="A146" s="37"/>
      <c r="D146" s="38" t="s">
        <v>335</v>
      </c>
      <c r="E146" s="39" t="s">
        <v>336</v>
      </c>
      <c r="G146" s="40">
        <v>240.386</v>
      </c>
      <c r="P146" s="41"/>
    </row>
    <row r="147" spans="1:75" ht="13.5" customHeight="1" x14ac:dyDescent="0.25">
      <c r="A147" s="2" t="s">
        <v>337</v>
      </c>
      <c r="B147" s="3" t="s">
        <v>51</v>
      </c>
      <c r="C147" s="3" t="s">
        <v>338</v>
      </c>
      <c r="D147" s="76" t="s">
        <v>339</v>
      </c>
      <c r="E147" s="77"/>
      <c r="F147" s="3" t="s">
        <v>115</v>
      </c>
      <c r="G147" s="34">
        <v>214.55</v>
      </c>
      <c r="H147" s="34"/>
      <c r="I147" s="35" t="s">
        <v>59</v>
      </c>
      <c r="J147" s="34">
        <f>G147*AO147</f>
        <v>0</v>
      </c>
      <c r="K147" s="34">
        <f>G147*AP147</f>
        <v>0</v>
      </c>
      <c r="L147" s="34">
        <f>G147*H147</f>
        <v>0</v>
      </c>
      <c r="M147" s="34">
        <f>L147*(1+BW147/100)</f>
        <v>0</v>
      </c>
      <c r="N147" s="34">
        <v>3.6000000000000002E-4</v>
      </c>
      <c r="O147" s="34">
        <f>G147*N147</f>
        <v>7.7238000000000015E-2</v>
      </c>
      <c r="P147" s="36" t="s">
        <v>779</v>
      </c>
      <c r="Z147" s="34">
        <f>IF(AQ147="5",BJ147,0)</f>
        <v>0</v>
      </c>
      <c r="AB147" s="34">
        <f>IF(AQ147="1",BH147,0)</f>
        <v>0</v>
      </c>
      <c r="AC147" s="34">
        <f>IF(AQ147="1",BI147,0)</f>
        <v>0</v>
      </c>
      <c r="AD147" s="34">
        <f>IF(AQ147="7",BH147,0)</f>
        <v>0</v>
      </c>
      <c r="AE147" s="34">
        <f>IF(AQ147="7",BI147,0)</f>
        <v>0</v>
      </c>
      <c r="AF147" s="34">
        <f>IF(AQ147="2",BH147,0)</f>
        <v>0</v>
      </c>
      <c r="AG147" s="34">
        <f>IF(AQ147="2",BI147,0)</f>
        <v>0</v>
      </c>
      <c r="AH147" s="34">
        <f>IF(AQ147="0",BJ147,0)</f>
        <v>0</v>
      </c>
      <c r="AI147" s="11" t="s">
        <v>51</v>
      </c>
      <c r="AJ147" s="34">
        <f>IF(AN147=0,L147,0)</f>
        <v>0</v>
      </c>
      <c r="AK147" s="34">
        <f>IF(AN147=12,L147,0)</f>
        <v>0</v>
      </c>
      <c r="AL147" s="34">
        <f>IF(AN147=21,L147,0)</f>
        <v>0</v>
      </c>
      <c r="AN147" s="34">
        <v>21</v>
      </c>
      <c r="AO147" s="34">
        <f>H147*0.053430439</f>
        <v>0</v>
      </c>
      <c r="AP147" s="34">
        <f>H147*(1-0.053430439)</f>
        <v>0</v>
      </c>
      <c r="AQ147" s="35" t="s">
        <v>55</v>
      </c>
      <c r="AV147" s="34">
        <f>AW147+AX147</f>
        <v>0</v>
      </c>
      <c r="AW147" s="34">
        <f>G147*AO147</f>
        <v>0</v>
      </c>
      <c r="AX147" s="34">
        <f>G147*AP147</f>
        <v>0</v>
      </c>
      <c r="AY147" s="35" t="s">
        <v>305</v>
      </c>
      <c r="AZ147" s="35" t="s">
        <v>227</v>
      </c>
      <c r="BA147" s="11" t="s">
        <v>62</v>
      </c>
      <c r="BC147" s="34">
        <f>AW147+AX147</f>
        <v>0</v>
      </c>
      <c r="BD147" s="34">
        <f>H147/(100-BE147)*100</f>
        <v>0</v>
      </c>
      <c r="BE147" s="34">
        <v>0</v>
      </c>
      <c r="BF147" s="34">
        <f>O147</f>
        <v>7.7238000000000015E-2</v>
      </c>
      <c r="BH147" s="34">
        <f>G147*AO147</f>
        <v>0</v>
      </c>
      <c r="BI147" s="34">
        <f>G147*AP147</f>
        <v>0</v>
      </c>
      <c r="BJ147" s="34">
        <f>G147*H147</f>
        <v>0</v>
      </c>
      <c r="BK147" s="34"/>
      <c r="BL147" s="34">
        <v>59</v>
      </c>
      <c r="BW147" s="34" t="str">
        <f>I147</f>
        <v>21</v>
      </c>
    </row>
    <row r="148" spans="1:75" x14ac:dyDescent="0.25">
      <c r="A148" s="37"/>
      <c r="D148" s="38" t="s">
        <v>50</v>
      </c>
      <c r="E148" s="39" t="s">
        <v>340</v>
      </c>
      <c r="G148" s="40">
        <v>0</v>
      </c>
      <c r="P148" s="41"/>
    </row>
    <row r="149" spans="1:75" x14ac:dyDescent="0.25">
      <c r="A149" s="37"/>
      <c r="D149" s="38" t="s">
        <v>341</v>
      </c>
      <c r="E149" s="39" t="s">
        <v>50</v>
      </c>
      <c r="G149" s="40">
        <v>161.5</v>
      </c>
      <c r="P149" s="41"/>
    </row>
    <row r="150" spans="1:75" x14ac:dyDescent="0.25">
      <c r="A150" s="37"/>
      <c r="D150" s="38" t="s">
        <v>342</v>
      </c>
      <c r="E150" s="39" t="s">
        <v>50</v>
      </c>
      <c r="G150" s="40">
        <v>53.05</v>
      </c>
      <c r="P150" s="41"/>
    </row>
    <row r="151" spans="1:75" ht="13.5" customHeight="1" x14ac:dyDescent="0.25">
      <c r="A151" s="2" t="s">
        <v>343</v>
      </c>
      <c r="B151" s="3" t="s">
        <v>51</v>
      </c>
      <c r="C151" s="3" t="s">
        <v>344</v>
      </c>
      <c r="D151" s="76" t="s">
        <v>345</v>
      </c>
      <c r="E151" s="77"/>
      <c r="F151" s="3" t="s">
        <v>115</v>
      </c>
      <c r="G151" s="34">
        <v>9</v>
      </c>
      <c r="H151" s="34"/>
      <c r="I151" s="35" t="s">
        <v>59</v>
      </c>
      <c r="J151" s="34">
        <f t="shared" ref="J151:J182" si="0">G151*AO151</f>
        <v>0</v>
      </c>
      <c r="K151" s="34">
        <f t="shared" ref="K151:K182" si="1">G151*AP151</f>
        <v>0</v>
      </c>
      <c r="L151" s="34">
        <f t="shared" ref="L151:L182" si="2">G151*H151</f>
        <v>0</v>
      </c>
      <c r="M151" s="34">
        <f t="shared" ref="M151:M182" si="3">L151*(1+BW151/100)</f>
        <v>0</v>
      </c>
      <c r="N151" s="34">
        <v>0.2843</v>
      </c>
      <c r="O151" s="34">
        <f t="shared" ref="O151:O182" si="4">G151*N151</f>
        <v>2.5587</v>
      </c>
      <c r="P151" s="36" t="s">
        <v>50</v>
      </c>
      <c r="Z151" s="34">
        <f t="shared" ref="Z151:Z182" si="5">IF(AQ151="5",BJ151,0)</f>
        <v>0</v>
      </c>
      <c r="AB151" s="34">
        <f t="shared" ref="AB151:AB182" si="6">IF(AQ151="1",BH151,0)</f>
        <v>0</v>
      </c>
      <c r="AC151" s="34">
        <f t="shared" ref="AC151:AC182" si="7">IF(AQ151="1",BI151,0)</f>
        <v>0</v>
      </c>
      <c r="AD151" s="34">
        <f t="shared" ref="AD151:AD182" si="8">IF(AQ151="7",BH151,0)</f>
        <v>0</v>
      </c>
      <c r="AE151" s="34">
        <f t="shared" ref="AE151:AE182" si="9">IF(AQ151="7",BI151,0)</f>
        <v>0</v>
      </c>
      <c r="AF151" s="34">
        <f t="shared" ref="AF151:AF182" si="10">IF(AQ151="2",BH151,0)</f>
        <v>0</v>
      </c>
      <c r="AG151" s="34">
        <f t="shared" ref="AG151:AG182" si="11">IF(AQ151="2",BI151,0)</f>
        <v>0</v>
      </c>
      <c r="AH151" s="34">
        <f t="shared" ref="AH151:AH182" si="12">IF(AQ151="0",BJ151,0)</f>
        <v>0</v>
      </c>
      <c r="AI151" s="11" t="s">
        <v>51</v>
      </c>
      <c r="AJ151" s="34">
        <f t="shared" ref="AJ151:AJ182" si="13">IF(AN151=0,L151,0)</f>
        <v>0</v>
      </c>
      <c r="AK151" s="34">
        <f t="shared" ref="AK151:AK182" si="14">IF(AN151=12,L151,0)</f>
        <v>0</v>
      </c>
      <c r="AL151" s="34">
        <f t="shared" ref="AL151:AL182" si="15">IF(AN151=21,L151,0)</f>
        <v>0</v>
      </c>
      <c r="AN151" s="34">
        <v>21</v>
      </c>
      <c r="AO151" s="34">
        <f t="shared" ref="AO151:AO182" si="16">H151*0</f>
        <v>0</v>
      </c>
      <c r="AP151" s="34">
        <f t="shared" ref="AP151:AP182" si="17">H151*(1-0)</f>
        <v>0</v>
      </c>
      <c r="AQ151" s="35" t="s">
        <v>55</v>
      </c>
      <c r="AV151" s="34">
        <f t="shared" ref="AV151:AV182" si="18">AW151+AX151</f>
        <v>0</v>
      </c>
      <c r="AW151" s="34">
        <f t="shared" ref="AW151:AW182" si="19">G151*AO151</f>
        <v>0</v>
      </c>
      <c r="AX151" s="34">
        <f t="shared" ref="AX151:AX182" si="20">G151*AP151</f>
        <v>0</v>
      </c>
      <c r="AY151" s="35" t="s">
        <v>305</v>
      </c>
      <c r="AZ151" s="35" t="s">
        <v>227</v>
      </c>
      <c r="BA151" s="11" t="s">
        <v>62</v>
      </c>
      <c r="BC151" s="34">
        <f t="shared" ref="BC151:BC182" si="21">AW151+AX151</f>
        <v>0</v>
      </c>
      <c r="BD151" s="34">
        <f t="shared" ref="BD151:BD182" si="22">H151/(100-BE151)*100</f>
        <v>0</v>
      </c>
      <c r="BE151" s="34">
        <v>0</v>
      </c>
      <c r="BF151" s="34">
        <f t="shared" ref="BF151:BF182" si="23">O151</f>
        <v>2.5587</v>
      </c>
      <c r="BH151" s="34">
        <f t="shared" ref="BH151:BH182" si="24">G151*AO151</f>
        <v>0</v>
      </c>
      <c r="BI151" s="34">
        <f t="shared" ref="BI151:BI182" si="25">G151*AP151</f>
        <v>0</v>
      </c>
      <c r="BJ151" s="34">
        <f t="shared" ref="BJ151:BJ182" si="26">G151*H151</f>
        <v>0</v>
      </c>
      <c r="BK151" s="34"/>
      <c r="BL151" s="34">
        <v>59</v>
      </c>
      <c r="BW151" s="34" t="str">
        <f t="shared" ref="BW151:BW182" si="27">I151</f>
        <v>21</v>
      </c>
    </row>
    <row r="152" spans="1:75" ht="13.5" customHeight="1" x14ac:dyDescent="0.25">
      <c r="A152" s="2" t="s">
        <v>346</v>
      </c>
      <c r="B152" s="3" t="s">
        <v>51</v>
      </c>
      <c r="C152" s="3" t="s">
        <v>347</v>
      </c>
      <c r="D152" s="76" t="s">
        <v>348</v>
      </c>
      <c r="E152" s="77"/>
      <c r="F152" s="3" t="s">
        <v>487</v>
      </c>
      <c r="G152" s="34">
        <v>1</v>
      </c>
      <c r="H152" s="34"/>
      <c r="I152" s="35" t="s">
        <v>59</v>
      </c>
      <c r="J152" s="34">
        <f t="shared" si="0"/>
        <v>0</v>
      </c>
      <c r="K152" s="34">
        <f t="shared" si="1"/>
        <v>0</v>
      </c>
      <c r="L152" s="34">
        <f t="shared" si="2"/>
        <v>0</v>
      </c>
      <c r="M152" s="34">
        <f t="shared" si="3"/>
        <v>0</v>
      </c>
      <c r="N152" s="34">
        <v>0</v>
      </c>
      <c r="O152" s="34">
        <f t="shared" si="4"/>
        <v>0</v>
      </c>
      <c r="P152" s="36" t="s">
        <v>50</v>
      </c>
      <c r="Z152" s="34">
        <f t="shared" si="5"/>
        <v>0</v>
      </c>
      <c r="AB152" s="34">
        <f t="shared" si="6"/>
        <v>0</v>
      </c>
      <c r="AC152" s="34">
        <f t="shared" si="7"/>
        <v>0</v>
      </c>
      <c r="AD152" s="34">
        <f t="shared" si="8"/>
        <v>0</v>
      </c>
      <c r="AE152" s="34">
        <f t="shared" si="9"/>
        <v>0</v>
      </c>
      <c r="AF152" s="34">
        <f t="shared" si="10"/>
        <v>0</v>
      </c>
      <c r="AG152" s="34">
        <f t="shared" si="11"/>
        <v>0</v>
      </c>
      <c r="AH152" s="34">
        <f t="shared" si="12"/>
        <v>0</v>
      </c>
      <c r="AI152" s="11" t="s">
        <v>51</v>
      </c>
      <c r="AJ152" s="34">
        <f t="shared" si="13"/>
        <v>0</v>
      </c>
      <c r="AK152" s="34">
        <f t="shared" si="14"/>
        <v>0</v>
      </c>
      <c r="AL152" s="34">
        <f t="shared" si="15"/>
        <v>0</v>
      </c>
      <c r="AN152" s="34">
        <v>21</v>
      </c>
      <c r="AO152" s="34">
        <f t="shared" si="16"/>
        <v>0</v>
      </c>
      <c r="AP152" s="34">
        <f t="shared" si="17"/>
        <v>0</v>
      </c>
      <c r="AQ152" s="35" t="s">
        <v>55</v>
      </c>
      <c r="AV152" s="34">
        <f t="shared" si="18"/>
        <v>0</v>
      </c>
      <c r="AW152" s="34">
        <f t="shared" si="19"/>
        <v>0</v>
      </c>
      <c r="AX152" s="34">
        <f t="shared" si="20"/>
        <v>0</v>
      </c>
      <c r="AY152" s="35" t="s">
        <v>305</v>
      </c>
      <c r="AZ152" s="35" t="s">
        <v>227</v>
      </c>
      <c r="BA152" s="11" t="s">
        <v>62</v>
      </c>
      <c r="BC152" s="34">
        <f t="shared" si="21"/>
        <v>0</v>
      </c>
      <c r="BD152" s="34">
        <f t="shared" si="22"/>
        <v>0</v>
      </c>
      <c r="BE152" s="34">
        <v>0</v>
      </c>
      <c r="BF152" s="34">
        <f t="shared" si="23"/>
        <v>0</v>
      </c>
      <c r="BH152" s="34">
        <f t="shared" si="24"/>
        <v>0</v>
      </c>
      <c r="BI152" s="34">
        <f t="shared" si="25"/>
        <v>0</v>
      </c>
      <c r="BJ152" s="34">
        <f t="shared" si="26"/>
        <v>0</v>
      </c>
      <c r="BK152" s="34"/>
      <c r="BL152" s="34">
        <v>59</v>
      </c>
      <c r="BW152" s="34" t="str">
        <f t="shared" si="27"/>
        <v>21</v>
      </c>
    </row>
    <row r="153" spans="1:75" ht="13.5" customHeight="1" x14ac:dyDescent="0.25">
      <c r="A153" s="2" t="s">
        <v>349</v>
      </c>
      <c r="B153" s="3" t="s">
        <v>51</v>
      </c>
      <c r="C153" s="3" t="s">
        <v>350</v>
      </c>
      <c r="D153" s="76" t="s">
        <v>351</v>
      </c>
      <c r="E153" s="77"/>
      <c r="F153" s="3" t="s">
        <v>487</v>
      </c>
      <c r="G153" s="34">
        <v>2</v>
      </c>
      <c r="H153" s="34"/>
      <c r="I153" s="35" t="s">
        <v>59</v>
      </c>
      <c r="J153" s="34">
        <f t="shared" si="0"/>
        <v>0</v>
      </c>
      <c r="K153" s="34">
        <f t="shared" si="1"/>
        <v>0</v>
      </c>
      <c r="L153" s="34">
        <f t="shared" si="2"/>
        <v>0</v>
      </c>
      <c r="M153" s="34">
        <f t="shared" si="3"/>
        <v>0</v>
      </c>
      <c r="N153" s="34">
        <v>0</v>
      </c>
      <c r="O153" s="34">
        <f t="shared" si="4"/>
        <v>0</v>
      </c>
      <c r="P153" s="36" t="s">
        <v>50</v>
      </c>
      <c r="Z153" s="34">
        <f t="shared" si="5"/>
        <v>0</v>
      </c>
      <c r="AB153" s="34">
        <f t="shared" si="6"/>
        <v>0</v>
      </c>
      <c r="AC153" s="34">
        <f t="shared" si="7"/>
        <v>0</v>
      </c>
      <c r="AD153" s="34">
        <f t="shared" si="8"/>
        <v>0</v>
      </c>
      <c r="AE153" s="34">
        <f t="shared" si="9"/>
        <v>0</v>
      </c>
      <c r="AF153" s="34">
        <f t="shared" si="10"/>
        <v>0</v>
      </c>
      <c r="AG153" s="34">
        <f t="shared" si="11"/>
        <v>0</v>
      </c>
      <c r="AH153" s="34">
        <f t="shared" si="12"/>
        <v>0</v>
      </c>
      <c r="AI153" s="11" t="s">
        <v>51</v>
      </c>
      <c r="AJ153" s="34">
        <f t="shared" si="13"/>
        <v>0</v>
      </c>
      <c r="AK153" s="34">
        <f t="shared" si="14"/>
        <v>0</v>
      </c>
      <c r="AL153" s="34">
        <f t="shared" si="15"/>
        <v>0</v>
      </c>
      <c r="AN153" s="34">
        <v>21</v>
      </c>
      <c r="AO153" s="34">
        <f t="shared" si="16"/>
        <v>0</v>
      </c>
      <c r="AP153" s="34">
        <f t="shared" si="17"/>
        <v>0</v>
      </c>
      <c r="AQ153" s="35" t="s">
        <v>55</v>
      </c>
      <c r="AV153" s="34">
        <f t="shared" si="18"/>
        <v>0</v>
      </c>
      <c r="AW153" s="34">
        <f t="shared" si="19"/>
        <v>0</v>
      </c>
      <c r="AX153" s="34">
        <f t="shared" si="20"/>
        <v>0</v>
      </c>
      <c r="AY153" s="35" t="s">
        <v>305</v>
      </c>
      <c r="AZ153" s="35" t="s">
        <v>227</v>
      </c>
      <c r="BA153" s="11" t="s">
        <v>62</v>
      </c>
      <c r="BC153" s="34">
        <f t="shared" si="21"/>
        <v>0</v>
      </c>
      <c r="BD153" s="34">
        <f t="shared" si="22"/>
        <v>0</v>
      </c>
      <c r="BE153" s="34">
        <v>0</v>
      </c>
      <c r="BF153" s="34">
        <f t="shared" si="23"/>
        <v>0</v>
      </c>
      <c r="BH153" s="34">
        <f t="shared" si="24"/>
        <v>0</v>
      </c>
      <c r="BI153" s="34">
        <f t="shared" si="25"/>
        <v>0</v>
      </c>
      <c r="BJ153" s="34">
        <f t="shared" si="26"/>
        <v>0</v>
      </c>
      <c r="BK153" s="34"/>
      <c r="BL153" s="34">
        <v>59</v>
      </c>
      <c r="BW153" s="34" t="str">
        <f t="shared" si="27"/>
        <v>21</v>
      </c>
    </row>
    <row r="154" spans="1:75" ht="27" customHeight="1" x14ac:dyDescent="0.25">
      <c r="A154" s="2" t="s">
        <v>352</v>
      </c>
      <c r="B154" s="3" t="s">
        <v>51</v>
      </c>
      <c r="C154" s="3" t="s">
        <v>353</v>
      </c>
      <c r="D154" s="76" t="s">
        <v>354</v>
      </c>
      <c r="E154" s="77"/>
      <c r="F154" s="3" t="s">
        <v>487</v>
      </c>
      <c r="G154" s="34">
        <v>1</v>
      </c>
      <c r="H154" s="34"/>
      <c r="I154" s="35" t="s">
        <v>59</v>
      </c>
      <c r="J154" s="34">
        <f t="shared" si="0"/>
        <v>0</v>
      </c>
      <c r="K154" s="34">
        <f t="shared" si="1"/>
        <v>0</v>
      </c>
      <c r="L154" s="34">
        <f t="shared" si="2"/>
        <v>0</v>
      </c>
      <c r="M154" s="34">
        <f t="shared" si="3"/>
        <v>0</v>
      </c>
      <c r="N154" s="34">
        <v>0</v>
      </c>
      <c r="O154" s="34">
        <f t="shared" si="4"/>
        <v>0</v>
      </c>
      <c r="P154" s="36" t="s">
        <v>50</v>
      </c>
      <c r="Z154" s="34">
        <f t="shared" si="5"/>
        <v>0</v>
      </c>
      <c r="AB154" s="34">
        <f t="shared" si="6"/>
        <v>0</v>
      </c>
      <c r="AC154" s="34">
        <f t="shared" si="7"/>
        <v>0</v>
      </c>
      <c r="AD154" s="34">
        <f t="shared" si="8"/>
        <v>0</v>
      </c>
      <c r="AE154" s="34">
        <f t="shared" si="9"/>
        <v>0</v>
      </c>
      <c r="AF154" s="34">
        <f t="shared" si="10"/>
        <v>0</v>
      </c>
      <c r="AG154" s="34">
        <f t="shared" si="11"/>
        <v>0</v>
      </c>
      <c r="AH154" s="34">
        <f t="shared" si="12"/>
        <v>0</v>
      </c>
      <c r="AI154" s="11" t="s">
        <v>51</v>
      </c>
      <c r="AJ154" s="34">
        <f t="shared" si="13"/>
        <v>0</v>
      </c>
      <c r="AK154" s="34">
        <f t="shared" si="14"/>
        <v>0</v>
      </c>
      <c r="AL154" s="34">
        <f t="shared" si="15"/>
        <v>0</v>
      </c>
      <c r="AN154" s="34">
        <v>21</v>
      </c>
      <c r="AO154" s="34">
        <f t="shared" si="16"/>
        <v>0</v>
      </c>
      <c r="AP154" s="34">
        <f t="shared" si="17"/>
        <v>0</v>
      </c>
      <c r="AQ154" s="35" t="s">
        <v>55</v>
      </c>
      <c r="AV154" s="34">
        <f t="shared" si="18"/>
        <v>0</v>
      </c>
      <c r="AW154" s="34">
        <f t="shared" si="19"/>
        <v>0</v>
      </c>
      <c r="AX154" s="34">
        <f t="shared" si="20"/>
        <v>0</v>
      </c>
      <c r="AY154" s="35" t="s">
        <v>305</v>
      </c>
      <c r="AZ154" s="35" t="s">
        <v>227</v>
      </c>
      <c r="BA154" s="11" t="s">
        <v>62</v>
      </c>
      <c r="BC154" s="34">
        <f t="shared" si="21"/>
        <v>0</v>
      </c>
      <c r="BD154" s="34">
        <f t="shared" si="22"/>
        <v>0</v>
      </c>
      <c r="BE154" s="34">
        <v>0</v>
      </c>
      <c r="BF154" s="34">
        <f t="shared" si="23"/>
        <v>0</v>
      </c>
      <c r="BH154" s="34">
        <f t="shared" si="24"/>
        <v>0</v>
      </c>
      <c r="BI154" s="34">
        <f t="shared" si="25"/>
        <v>0</v>
      </c>
      <c r="BJ154" s="34">
        <f t="shared" si="26"/>
        <v>0</v>
      </c>
      <c r="BK154" s="34"/>
      <c r="BL154" s="34">
        <v>59</v>
      </c>
      <c r="BW154" s="34" t="str">
        <f t="shared" si="27"/>
        <v>21</v>
      </c>
    </row>
    <row r="155" spans="1:75" ht="13.5" customHeight="1" x14ac:dyDescent="0.25">
      <c r="A155" s="2" t="s">
        <v>355</v>
      </c>
      <c r="B155" s="3" t="s">
        <v>51</v>
      </c>
      <c r="C155" s="3" t="s">
        <v>356</v>
      </c>
      <c r="D155" s="76" t="s">
        <v>357</v>
      </c>
      <c r="E155" s="77"/>
      <c r="F155" s="3" t="s">
        <v>487</v>
      </c>
      <c r="G155" s="34">
        <v>8</v>
      </c>
      <c r="H155" s="34"/>
      <c r="I155" s="35" t="s">
        <v>59</v>
      </c>
      <c r="J155" s="34">
        <f t="shared" si="0"/>
        <v>0</v>
      </c>
      <c r="K155" s="34">
        <f t="shared" si="1"/>
        <v>0</v>
      </c>
      <c r="L155" s="34">
        <f t="shared" si="2"/>
        <v>0</v>
      </c>
      <c r="M155" s="34">
        <f t="shared" si="3"/>
        <v>0</v>
      </c>
      <c r="N155" s="34">
        <v>0</v>
      </c>
      <c r="O155" s="34">
        <f t="shared" si="4"/>
        <v>0</v>
      </c>
      <c r="P155" s="36" t="s">
        <v>50</v>
      </c>
      <c r="Z155" s="34">
        <f t="shared" si="5"/>
        <v>0</v>
      </c>
      <c r="AB155" s="34">
        <f t="shared" si="6"/>
        <v>0</v>
      </c>
      <c r="AC155" s="34">
        <f t="shared" si="7"/>
        <v>0</v>
      </c>
      <c r="AD155" s="34">
        <f t="shared" si="8"/>
        <v>0</v>
      </c>
      <c r="AE155" s="34">
        <f t="shared" si="9"/>
        <v>0</v>
      </c>
      <c r="AF155" s="34">
        <f t="shared" si="10"/>
        <v>0</v>
      </c>
      <c r="AG155" s="34">
        <f t="shared" si="11"/>
        <v>0</v>
      </c>
      <c r="AH155" s="34">
        <f t="shared" si="12"/>
        <v>0</v>
      </c>
      <c r="AI155" s="11" t="s">
        <v>51</v>
      </c>
      <c r="AJ155" s="34">
        <f t="shared" si="13"/>
        <v>0</v>
      </c>
      <c r="AK155" s="34">
        <f t="shared" si="14"/>
        <v>0</v>
      </c>
      <c r="AL155" s="34">
        <f t="shared" si="15"/>
        <v>0</v>
      </c>
      <c r="AN155" s="34">
        <v>21</v>
      </c>
      <c r="AO155" s="34">
        <f t="shared" si="16"/>
        <v>0</v>
      </c>
      <c r="AP155" s="34">
        <f t="shared" si="17"/>
        <v>0</v>
      </c>
      <c r="AQ155" s="35" t="s">
        <v>55</v>
      </c>
      <c r="AV155" s="34">
        <f t="shared" si="18"/>
        <v>0</v>
      </c>
      <c r="AW155" s="34">
        <f t="shared" si="19"/>
        <v>0</v>
      </c>
      <c r="AX155" s="34">
        <f t="shared" si="20"/>
        <v>0</v>
      </c>
      <c r="AY155" s="35" t="s">
        <v>305</v>
      </c>
      <c r="AZ155" s="35" t="s">
        <v>227</v>
      </c>
      <c r="BA155" s="11" t="s">
        <v>62</v>
      </c>
      <c r="BC155" s="34">
        <f t="shared" si="21"/>
        <v>0</v>
      </c>
      <c r="BD155" s="34">
        <f t="shared" si="22"/>
        <v>0</v>
      </c>
      <c r="BE155" s="34">
        <v>0</v>
      </c>
      <c r="BF155" s="34">
        <f t="shared" si="23"/>
        <v>0</v>
      </c>
      <c r="BH155" s="34">
        <f t="shared" si="24"/>
        <v>0</v>
      </c>
      <c r="BI155" s="34">
        <f t="shared" si="25"/>
        <v>0</v>
      </c>
      <c r="BJ155" s="34">
        <f t="shared" si="26"/>
        <v>0</v>
      </c>
      <c r="BK155" s="34"/>
      <c r="BL155" s="34">
        <v>59</v>
      </c>
      <c r="BW155" s="34" t="str">
        <f t="shared" si="27"/>
        <v>21</v>
      </c>
    </row>
    <row r="156" spans="1:75" ht="13.5" customHeight="1" x14ac:dyDescent="0.25">
      <c r="A156" s="2" t="s">
        <v>358</v>
      </c>
      <c r="B156" s="3" t="s">
        <v>51</v>
      </c>
      <c r="C156" s="3" t="s">
        <v>359</v>
      </c>
      <c r="D156" s="76" t="s">
        <v>360</v>
      </c>
      <c r="E156" s="77"/>
      <c r="F156" s="3" t="s">
        <v>487</v>
      </c>
      <c r="G156" s="34">
        <v>1</v>
      </c>
      <c r="H156" s="34"/>
      <c r="I156" s="35" t="s">
        <v>59</v>
      </c>
      <c r="J156" s="34">
        <f t="shared" si="0"/>
        <v>0</v>
      </c>
      <c r="K156" s="34">
        <f t="shared" si="1"/>
        <v>0</v>
      </c>
      <c r="L156" s="34">
        <f t="shared" si="2"/>
        <v>0</v>
      </c>
      <c r="M156" s="34">
        <f t="shared" si="3"/>
        <v>0</v>
      </c>
      <c r="N156" s="34">
        <v>0</v>
      </c>
      <c r="O156" s="34">
        <f t="shared" si="4"/>
        <v>0</v>
      </c>
      <c r="P156" s="36" t="s">
        <v>50</v>
      </c>
      <c r="Z156" s="34">
        <f t="shared" si="5"/>
        <v>0</v>
      </c>
      <c r="AB156" s="34">
        <f t="shared" si="6"/>
        <v>0</v>
      </c>
      <c r="AC156" s="34">
        <f t="shared" si="7"/>
        <v>0</v>
      </c>
      <c r="AD156" s="34">
        <f t="shared" si="8"/>
        <v>0</v>
      </c>
      <c r="AE156" s="34">
        <f t="shared" si="9"/>
        <v>0</v>
      </c>
      <c r="AF156" s="34">
        <f t="shared" si="10"/>
        <v>0</v>
      </c>
      <c r="AG156" s="34">
        <f t="shared" si="11"/>
        <v>0</v>
      </c>
      <c r="AH156" s="34">
        <f t="shared" si="12"/>
        <v>0</v>
      </c>
      <c r="AI156" s="11" t="s">
        <v>51</v>
      </c>
      <c r="AJ156" s="34">
        <f t="shared" si="13"/>
        <v>0</v>
      </c>
      <c r="AK156" s="34">
        <f t="shared" si="14"/>
        <v>0</v>
      </c>
      <c r="AL156" s="34">
        <f t="shared" si="15"/>
        <v>0</v>
      </c>
      <c r="AN156" s="34">
        <v>21</v>
      </c>
      <c r="AO156" s="34">
        <f t="shared" si="16"/>
        <v>0</v>
      </c>
      <c r="AP156" s="34">
        <f t="shared" si="17"/>
        <v>0</v>
      </c>
      <c r="AQ156" s="35" t="s">
        <v>55</v>
      </c>
      <c r="AV156" s="34">
        <f t="shared" si="18"/>
        <v>0</v>
      </c>
      <c r="AW156" s="34">
        <f t="shared" si="19"/>
        <v>0</v>
      </c>
      <c r="AX156" s="34">
        <f t="shared" si="20"/>
        <v>0</v>
      </c>
      <c r="AY156" s="35" t="s">
        <v>305</v>
      </c>
      <c r="AZ156" s="35" t="s">
        <v>227</v>
      </c>
      <c r="BA156" s="11" t="s">
        <v>62</v>
      </c>
      <c r="BC156" s="34">
        <f t="shared" si="21"/>
        <v>0</v>
      </c>
      <c r="BD156" s="34">
        <f t="shared" si="22"/>
        <v>0</v>
      </c>
      <c r="BE156" s="34">
        <v>0</v>
      </c>
      <c r="BF156" s="34">
        <f t="shared" si="23"/>
        <v>0</v>
      </c>
      <c r="BH156" s="34">
        <f t="shared" si="24"/>
        <v>0</v>
      </c>
      <c r="BI156" s="34">
        <f t="shared" si="25"/>
        <v>0</v>
      </c>
      <c r="BJ156" s="34">
        <f t="shared" si="26"/>
        <v>0</v>
      </c>
      <c r="BK156" s="34"/>
      <c r="BL156" s="34">
        <v>59</v>
      </c>
      <c r="BW156" s="34" t="str">
        <f t="shared" si="27"/>
        <v>21</v>
      </c>
    </row>
    <row r="157" spans="1:75" ht="13.5" customHeight="1" x14ac:dyDescent="0.25">
      <c r="A157" s="2" t="s">
        <v>221</v>
      </c>
      <c r="B157" s="3" t="s">
        <v>51</v>
      </c>
      <c r="C157" s="3" t="s">
        <v>361</v>
      </c>
      <c r="D157" s="76" t="s">
        <v>362</v>
      </c>
      <c r="E157" s="77"/>
      <c r="F157" s="3" t="s">
        <v>487</v>
      </c>
      <c r="G157" s="34">
        <v>1</v>
      </c>
      <c r="H157" s="34"/>
      <c r="I157" s="35" t="s">
        <v>59</v>
      </c>
      <c r="J157" s="34">
        <f t="shared" si="0"/>
        <v>0</v>
      </c>
      <c r="K157" s="34">
        <f t="shared" si="1"/>
        <v>0</v>
      </c>
      <c r="L157" s="34">
        <f t="shared" si="2"/>
        <v>0</v>
      </c>
      <c r="M157" s="34">
        <f t="shared" si="3"/>
        <v>0</v>
      </c>
      <c r="N157" s="34">
        <v>0</v>
      </c>
      <c r="O157" s="34">
        <f t="shared" si="4"/>
        <v>0</v>
      </c>
      <c r="P157" s="36" t="s">
        <v>50</v>
      </c>
      <c r="Z157" s="34">
        <f t="shared" si="5"/>
        <v>0</v>
      </c>
      <c r="AB157" s="34">
        <f t="shared" si="6"/>
        <v>0</v>
      </c>
      <c r="AC157" s="34">
        <f t="shared" si="7"/>
        <v>0</v>
      </c>
      <c r="AD157" s="34">
        <f t="shared" si="8"/>
        <v>0</v>
      </c>
      <c r="AE157" s="34">
        <f t="shared" si="9"/>
        <v>0</v>
      </c>
      <c r="AF157" s="34">
        <f t="shared" si="10"/>
        <v>0</v>
      </c>
      <c r="AG157" s="34">
        <f t="shared" si="11"/>
        <v>0</v>
      </c>
      <c r="AH157" s="34">
        <f t="shared" si="12"/>
        <v>0</v>
      </c>
      <c r="AI157" s="11" t="s">
        <v>51</v>
      </c>
      <c r="AJ157" s="34">
        <f t="shared" si="13"/>
        <v>0</v>
      </c>
      <c r="AK157" s="34">
        <f t="shared" si="14"/>
        <v>0</v>
      </c>
      <c r="AL157" s="34">
        <f t="shared" si="15"/>
        <v>0</v>
      </c>
      <c r="AN157" s="34">
        <v>21</v>
      </c>
      <c r="AO157" s="34">
        <f t="shared" si="16"/>
        <v>0</v>
      </c>
      <c r="AP157" s="34">
        <f t="shared" si="17"/>
        <v>0</v>
      </c>
      <c r="AQ157" s="35" t="s">
        <v>55</v>
      </c>
      <c r="AV157" s="34">
        <f t="shared" si="18"/>
        <v>0</v>
      </c>
      <c r="AW157" s="34">
        <f t="shared" si="19"/>
        <v>0</v>
      </c>
      <c r="AX157" s="34">
        <f t="shared" si="20"/>
        <v>0</v>
      </c>
      <c r="AY157" s="35" t="s">
        <v>305</v>
      </c>
      <c r="AZ157" s="35" t="s">
        <v>227</v>
      </c>
      <c r="BA157" s="11" t="s">
        <v>62</v>
      </c>
      <c r="BC157" s="34">
        <f t="shared" si="21"/>
        <v>0</v>
      </c>
      <c r="BD157" s="34">
        <f t="shared" si="22"/>
        <v>0</v>
      </c>
      <c r="BE157" s="34">
        <v>0</v>
      </c>
      <c r="BF157" s="34">
        <f t="shared" si="23"/>
        <v>0</v>
      </c>
      <c r="BH157" s="34">
        <f t="shared" si="24"/>
        <v>0</v>
      </c>
      <c r="BI157" s="34">
        <f t="shared" si="25"/>
        <v>0</v>
      </c>
      <c r="BJ157" s="34">
        <f t="shared" si="26"/>
        <v>0</v>
      </c>
      <c r="BK157" s="34"/>
      <c r="BL157" s="34">
        <v>59</v>
      </c>
      <c r="BW157" s="34" t="str">
        <f t="shared" si="27"/>
        <v>21</v>
      </c>
    </row>
    <row r="158" spans="1:75" ht="13.5" customHeight="1" x14ac:dyDescent="0.25">
      <c r="A158" s="2" t="s">
        <v>268</v>
      </c>
      <c r="B158" s="3" t="s">
        <v>51</v>
      </c>
      <c r="C158" s="3" t="s">
        <v>363</v>
      </c>
      <c r="D158" s="76" t="s">
        <v>364</v>
      </c>
      <c r="E158" s="77"/>
      <c r="F158" s="3" t="s">
        <v>487</v>
      </c>
      <c r="G158" s="34">
        <v>2</v>
      </c>
      <c r="H158" s="34"/>
      <c r="I158" s="35" t="s">
        <v>59</v>
      </c>
      <c r="J158" s="34">
        <f t="shared" si="0"/>
        <v>0</v>
      </c>
      <c r="K158" s="34">
        <f t="shared" si="1"/>
        <v>0</v>
      </c>
      <c r="L158" s="34">
        <f t="shared" si="2"/>
        <v>0</v>
      </c>
      <c r="M158" s="34">
        <f t="shared" si="3"/>
        <v>0</v>
      </c>
      <c r="N158" s="34">
        <v>0</v>
      </c>
      <c r="O158" s="34">
        <f t="shared" si="4"/>
        <v>0</v>
      </c>
      <c r="P158" s="36" t="s">
        <v>50</v>
      </c>
      <c r="Z158" s="34">
        <f t="shared" si="5"/>
        <v>0</v>
      </c>
      <c r="AB158" s="34">
        <f t="shared" si="6"/>
        <v>0</v>
      </c>
      <c r="AC158" s="34">
        <f t="shared" si="7"/>
        <v>0</v>
      </c>
      <c r="AD158" s="34">
        <f t="shared" si="8"/>
        <v>0</v>
      </c>
      <c r="AE158" s="34">
        <f t="shared" si="9"/>
        <v>0</v>
      </c>
      <c r="AF158" s="34">
        <f t="shared" si="10"/>
        <v>0</v>
      </c>
      <c r="AG158" s="34">
        <f t="shared" si="11"/>
        <v>0</v>
      </c>
      <c r="AH158" s="34">
        <f t="shared" si="12"/>
        <v>0</v>
      </c>
      <c r="AI158" s="11" t="s">
        <v>51</v>
      </c>
      <c r="AJ158" s="34">
        <f t="shared" si="13"/>
        <v>0</v>
      </c>
      <c r="AK158" s="34">
        <f t="shared" si="14"/>
        <v>0</v>
      </c>
      <c r="AL158" s="34">
        <f t="shared" si="15"/>
        <v>0</v>
      </c>
      <c r="AN158" s="34">
        <v>21</v>
      </c>
      <c r="AO158" s="34">
        <f t="shared" si="16"/>
        <v>0</v>
      </c>
      <c r="AP158" s="34">
        <f t="shared" si="17"/>
        <v>0</v>
      </c>
      <c r="AQ158" s="35" t="s">
        <v>55</v>
      </c>
      <c r="AV158" s="34">
        <f t="shared" si="18"/>
        <v>0</v>
      </c>
      <c r="AW158" s="34">
        <f t="shared" si="19"/>
        <v>0</v>
      </c>
      <c r="AX158" s="34">
        <f t="shared" si="20"/>
        <v>0</v>
      </c>
      <c r="AY158" s="35" t="s">
        <v>305</v>
      </c>
      <c r="AZ158" s="35" t="s">
        <v>227</v>
      </c>
      <c r="BA158" s="11" t="s">
        <v>62</v>
      </c>
      <c r="BC158" s="34">
        <f t="shared" si="21"/>
        <v>0</v>
      </c>
      <c r="BD158" s="34">
        <f t="shared" si="22"/>
        <v>0</v>
      </c>
      <c r="BE158" s="34">
        <v>0</v>
      </c>
      <c r="BF158" s="34">
        <f t="shared" si="23"/>
        <v>0</v>
      </c>
      <c r="BH158" s="34">
        <f t="shared" si="24"/>
        <v>0</v>
      </c>
      <c r="BI158" s="34">
        <f t="shared" si="25"/>
        <v>0</v>
      </c>
      <c r="BJ158" s="34">
        <f t="shared" si="26"/>
        <v>0</v>
      </c>
      <c r="BK158" s="34"/>
      <c r="BL158" s="34">
        <v>59</v>
      </c>
      <c r="BW158" s="34" t="str">
        <f t="shared" si="27"/>
        <v>21</v>
      </c>
    </row>
    <row r="159" spans="1:75" ht="13.5" customHeight="1" x14ac:dyDescent="0.25">
      <c r="A159" s="2" t="s">
        <v>365</v>
      </c>
      <c r="B159" s="3" t="s">
        <v>51</v>
      </c>
      <c r="C159" s="3" t="s">
        <v>366</v>
      </c>
      <c r="D159" s="76" t="s">
        <v>367</v>
      </c>
      <c r="E159" s="77"/>
      <c r="F159" s="3" t="s">
        <v>115</v>
      </c>
      <c r="G159" s="34">
        <v>5</v>
      </c>
      <c r="H159" s="34"/>
      <c r="I159" s="35" t="s">
        <v>59</v>
      </c>
      <c r="J159" s="34">
        <f t="shared" si="0"/>
        <v>0</v>
      </c>
      <c r="K159" s="34">
        <f t="shared" si="1"/>
        <v>0</v>
      </c>
      <c r="L159" s="34">
        <f t="shared" si="2"/>
        <v>0</v>
      </c>
      <c r="M159" s="34">
        <f t="shared" si="3"/>
        <v>0</v>
      </c>
      <c r="N159" s="34">
        <v>0.2843</v>
      </c>
      <c r="O159" s="34">
        <f t="shared" si="4"/>
        <v>1.4215</v>
      </c>
      <c r="P159" s="36" t="s">
        <v>50</v>
      </c>
      <c r="Z159" s="34">
        <f t="shared" si="5"/>
        <v>0</v>
      </c>
      <c r="AB159" s="34">
        <f t="shared" si="6"/>
        <v>0</v>
      </c>
      <c r="AC159" s="34">
        <f t="shared" si="7"/>
        <v>0</v>
      </c>
      <c r="AD159" s="34">
        <f t="shared" si="8"/>
        <v>0</v>
      </c>
      <c r="AE159" s="34">
        <f t="shared" si="9"/>
        <v>0</v>
      </c>
      <c r="AF159" s="34">
        <f t="shared" si="10"/>
        <v>0</v>
      </c>
      <c r="AG159" s="34">
        <f t="shared" si="11"/>
        <v>0</v>
      </c>
      <c r="AH159" s="34">
        <f t="shared" si="12"/>
        <v>0</v>
      </c>
      <c r="AI159" s="11" t="s">
        <v>51</v>
      </c>
      <c r="AJ159" s="34">
        <f t="shared" si="13"/>
        <v>0</v>
      </c>
      <c r="AK159" s="34">
        <f t="shared" si="14"/>
        <v>0</v>
      </c>
      <c r="AL159" s="34">
        <f t="shared" si="15"/>
        <v>0</v>
      </c>
      <c r="AN159" s="34">
        <v>21</v>
      </c>
      <c r="AO159" s="34">
        <f t="shared" si="16"/>
        <v>0</v>
      </c>
      <c r="AP159" s="34">
        <f t="shared" si="17"/>
        <v>0</v>
      </c>
      <c r="AQ159" s="35" t="s">
        <v>55</v>
      </c>
      <c r="AV159" s="34">
        <f t="shared" si="18"/>
        <v>0</v>
      </c>
      <c r="AW159" s="34">
        <f t="shared" si="19"/>
        <v>0</v>
      </c>
      <c r="AX159" s="34">
        <f t="shared" si="20"/>
        <v>0</v>
      </c>
      <c r="AY159" s="35" t="s">
        <v>305</v>
      </c>
      <c r="AZ159" s="35" t="s">
        <v>227</v>
      </c>
      <c r="BA159" s="11" t="s">
        <v>62</v>
      </c>
      <c r="BC159" s="34">
        <f t="shared" si="21"/>
        <v>0</v>
      </c>
      <c r="BD159" s="34">
        <f t="shared" si="22"/>
        <v>0</v>
      </c>
      <c r="BE159" s="34">
        <v>0</v>
      </c>
      <c r="BF159" s="34">
        <f t="shared" si="23"/>
        <v>1.4215</v>
      </c>
      <c r="BH159" s="34">
        <f t="shared" si="24"/>
        <v>0</v>
      </c>
      <c r="BI159" s="34">
        <f t="shared" si="25"/>
        <v>0</v>
      </c>
      <c r="BJ159" s="34">
        <f t="shared" si="26"/>
        <v>0</v>
      </c>
      <c r="BK159" s="34"/>
      <c r="BL159" s="34">
        <v>59</v>
      </c>
      <c r="BW159" s="34" t="str">
        <f t="shared" si="27"/>
        <v>21</v>
      </c>
    </row>
    <row r="160" spans="1:75" ht="13.5" customHeight="1" x14ac:dyDescent="0.25">
      <c r="A160" s="2" t="s">
        <v>300</v>
      </c>
      <c r="B160" s="3" t="s">
        <v>51</v>
      </c>
      <c r="C160" s="3" t="s">
        <v>368</v>
      </c>
      <c r="D160" s="76" t="s">
        <v>369</v>
      </c>
      <c r="E160" s="77"/>
      <c r="F160" s="3" t="s">
        <v>487</v>
      </c>
      <c r="G160" s="34">
        <v>10</v>
      </c>
      <c r="H160" s="34"/>
      <c r="I160" s="35" t="s">
        <v>59</v>
      </c>
      <c r="J160" s="34">
        <f t="shared" si="0"/>
        <v>0</v>
      </c>
      <c r="K160" s="34">
        <f t="shared" si="1"/>
        <v>0</v>
      </c>
      <c r="L160" s="34">
        <f t="shared" si="2"/>
        <v>0</v>
      </c>
      <c r="M160" s="34">
        <f t="shared" si="3"/>
        <v>0</v>
      </c>
      <c r="N160" s="34">
        <v>0</v>
      </c>
      <c r="O160" s="34">
        <f t="shared" si="4"/>
        <v>0</v>
      </c>
      <c r="P160" s="36" t="s">
        <v>50</v>
      </c>
      <c r="Z160" s="34">
        <f t="shared" si="5"/>
        <v>0</v>
      </c>
      <c r="AB160" s="34">
        <f t="shared" si="6"/>
        <v>0</v>
      </c>
      <c r="AC160" s="34">
        <f t="shared" si="7"/>
        <v>0</v>
      </c>
      <c r="AD160" s="34">
        <f t="shared" si="8"/>
        <v>0</v>
      </c>
      <c r="AE160" s="34">
        <f t="shared" si="9"/>
        <v>0</v>
      </c>
      <c r="AF160" s="34">
        <f t="shared" si="10"/>
        <v>0</v>
      </c>
      <c r="AG160" s="34">
        <f t="shared" si="11"/>
        <v>0</v>
      </c>
      <c r="AH160" s="34">
        <f t="shared" si="12"/>
        <v>0</v>
      </c>
      <c r="AI160" s="11" t="s">
        <v>51</v>
      </c>
      <c r="AJ160" s="34">
        <f t="shared" si="13"/>
        <v>0</v>
      </c>
      <c r="AK160" s="34">
        <f t="shared" si="14"/>
        <v>0</v>
      </c>
      <c r="AL160" s="34">
        <f t="shared" si="15"/>
        <v>0</v>
      </c>
      <c r="AN160" s="34">
        <v>21</v>
      </c>
      <c r="AO160" s="34">
        <f t="shared" si="16"/>
        <v>0</v>
      </c>
      <c r="AP160" s="34">
        <f t="shared" si="17"/>
        <v>0</v>
      </c>
      <c r="AQ160" s="35" t="s">
        <v>55</v>
      </c>
      <c r="AV160" s="34">
        <f t="shared" si="18"/>
        <v>0</v>
      </c>
      <c r="AW160" s="34">
        <f t="shared" si="19"/>
        <v>0</v>
      </c>
      <c r="AX160" s="34">
        <f t="shared" si="20"/>
        <v>0</v>
      </c>
      <c r="AY160" s="35" t="s">
        <v>305</v>
      </c>
      <c r="AZ160" s="35" t="s">
        <v>227</v>
      </c>
      <c r="BA160" s="11" t="s">
        <v>62</v>
      </c>
      <c r="BC160" s="34">
        <f t="shared" si="21"/>
        <v>0</v>
      </c>
      <c r="BD160" s="34">
        <f t="shared" si="22"/>
        <v>0</v>
      </c>
      <c r="BE160" s="34">
        <v>0</v>
      </c>
      <c r="BF160" s="34">
        <f t="shared" si="23"/>
        <v>0</v>
      </c>
      <c r="BH160" s="34">
        <f t="shared" si="24"/>
        <v>0</v>
      </c>
      <c r="BI160" s="34">
        <f t="shared" si="25"/>
        <v>0</v>
      </c>
      <c r="BJ160" s="34">
        <f t="shared" si="26"/>
        <v>0</v>
      </c>
      <c r="BK160" s="34"/>
      <c r="BL160" s="34">
        <v>59</v>
      </c>
      <c r="BW160" s="34" t="str">
        <f t="shared" si="27"/>
        <v>21</v>
      </c>
    </row>
    <row r="161" spans="1:75" ht="13.5" customHeight="1" x14ac:dyDescent="0.25">
      <c r="A161" s="2" t="s">
        <v>370</v>
      </c>
      <c r="B161" s="3" t="s">
        <v>51</v>
      </c>
      <c r="C161" s="3" t="s">
        <v>371</v>
      </c>
      <c r="D161" s="76" t="s">
        <v>372</v>
      </c>
      <c r="E161" s="77"/>
      <c r="F161" s="3" t="s">
        <v>487</v>
      </c>
      <c r="G161" s="34">
        <v>4</v>
      </c>
      <c r="H161" s="34"/>
      <c r="I161" s="35" t="s">
        <v>59</v>
      </c>
      <c r="J161" s="34">
        <f t="shared" si="0"/>
        <v>0</v>
      </c>
      <c r="K161" s="34">
        <f t="shared" si="1"/>
        <v>0</v>
      </c>
      <c r="L161" s="34">
        <f t="shared" si="2"/>
        <v>0</v>
      </c>
      <c r="M161" s="34">
        <f t="shared" si="3"/>
        <v>0</v>
      </c>
      <c r="N161" s="34">
        <v>0</v>
      </c>
      <c r="O161" s="34">
        <f t="shared" si="4"/>
        <v>0</v>
      </c>
      <c r="P161" s="36" t="s">
        <v>50</v>
      </c>
      <c r="Z161" s="34">
        <f t="shared" si="5"/>
        <v>0</v>
      </c>
      <c r="AB161" s="34">
        <f t="shared" si="6"/>
        <v>0</v>
      </c>
      <c r="AC161" s="34">
        <f t="shared" si="7"/>
        <v>0</v>
      </c>
      <c r="AD161" s="34">
        <f t="shared" si="8"/>
        <v>0</v>
      </c>
      <c r="AE161" s="34">
        <f t="shared" si="9"/>
        <v>0</v>
      </c>
      <c r="AF161" s="34">
        <f t="shared" si="10"/>
        <v>0</v>
      </c>
      <c r="AG161" s="34">
        <f t="shared" si="11"/>
        <v>0</v>
      </c>
      <c r="AH161" s="34">
        <f t="shared" si="12"/>
        <v>0</v>
      </c>
      <c r="AI161" s="11" t="s">
        <v>51</v>
      </c>
      <c r="AJ161" s="34">
        <f t="shared" si="13"/>
        <v>0</v>
      </c>
      <c r="AK161" s="34">
        <f t="shared" si="14"/>
        <v>0</v>
      </c>
      <c r="AL161" s="34">
        <f t="shared" si="15"/>
        <v>0</v>
      </c>
      <c r="AN161" s="34">
        <v>21</v>
      </c>
      <c r="AO161" s="34">
        <f t="shared" si="16"/>
        <v>0</v>
      </c>
      <c r="AP161" s="34">
        <f t="shared" si="17"/>
        <v>0</v>
      </c>
      <c r="AQ161" s="35" t="s">
        <v>55</v>
      </c>
      <c r="AV161" s="34">
        <f t="shared" si="18"/>
        <v>0</v>
      </c>
      <c r="AW161" s="34">
        <f t="shared" si="19"/>
        <v>0</v>
      </c>
      <c r="AX161" s="34">
        <f t="shared" si="20"/>
        <v>0</v>
      </c>
      <c r="AY161" s="35" t="s">
        <v>305</v>
      </c>
      <c r="AZ161" s="35" t="s">
        <v>227</v>
      </c>
      <c r="BA161" s="11" t="s">
        <v>62</v>
      </c>
      <c r="BC161" s="34">
        <f t="shared" si="21"/>
        <v>0</v>
      </c>
      <c r="BD161" s="34">
        <f t="shared" si="22"/>
        <v>0</v>
      </c>
      <c r="BE161" s="34">
        <v>0</v>
      </c>
      <c r="BF161" s="34">
        <f t="shared" si="23"/>
        <v>0</v>
      </c>
      <c r="BH161" s="34">
        <f t="shared" si="24"/>
        <v>0</v>
      </c>
      <c r="BI161" s="34">
        <f t="shared" si="25"/>
        <v>0</v>
      </c>
      <c r="BJ161" s="34">
        <f t="shared" si="26"/>
        <v>0</v>
      </c>
      <c r="BK161" s="34"/>
      <c r="BL161" s="34">
        <v>59</v>
      </c>
      <c r="BW161" s="34" t="str">
        <f t="shared" si="27"/>
        <v>21</v>
      </c>
    </row>
    <row r="162" spans="1:75" ht="13.5" customHeight="1" x14ac:dyDescent="0.25">
      <c r="A162" s="2" t="s">
        <v>373</v>
      </c>
      <c r="B162" s="3" t="s">
        <v>51</v>
      </c>
      <c r="C162" s="3" t="s">
        <v>374</v>
      </c>
      <c r="D162" s="76" t="s">
        <v>375</v>
      </c>
      <c r="E162" s="77"/>
      <c r="F162" s="3" t="s">
        <v>487</v>
      </c>
      <c r="G162" s="34">
        <v>1</v>
      </c>
      <c r="H162" s="34"/>
      <c r="I162" s="35" t="s">
        <v>59</v>
      </c>
      <c r="J162" s="34">
        <f t="shared" si="0"/>
        <v>0</v>
      </c>
      <c r="K162" s="34">
        <f t="shared" si="1"/>
        <v>0</v>
      </c>
      <c r="L162" s="34">
        <f t="shared" si="2"/>
        <v>0</v>
      </c>
      <c r="M162" s="34">
        <f t="shared" si="3"/>
        <v>0</v>
      </c>
      <c r="N162" s="34">
        <v>0</v>
      </c>
      <c r="O162" s="34">
        <f t="shared" si="4"/>
        <v>0</v>
      </c>
      <c r="P162" s="36" t="s">
        <v>50</v>
      </c>
      <c r="Z162" s="34">
        <f t="shared" si="5"/>
        <v>0</v>
      </c>
      <c r="AB162" s="34">
        <f t="shared" si="6"/>
        <v>0</v>
      </c>
      <c r="AC162" s="34">
        <f t="shared" si="7"/>
        <v>0</v>
      </c>
      <c r="AD162" s="34">
        <f t="shared" si="8"/>
        <v>0</v>
      </c>
      <c r="AE162" s="34">
        <f t="shared" si="9"/>
        <v>0</v>
      </c>
      <c r="AF162" s="34">
        <f t="shared" si="10"/>
        <v>0</v>
      </c>
      <c r="AG162" s="34">
        <f t="shared" si="11"/>
        <v>0</v>
      </c>
      <c r="AH162" s="34">
        <f t="shared" si="12"/>
        <v>0</v>
      </c>
      <c r="AI162" s="11" t="s">
        <v>51</v>
      </c>
      <c r="AJ162" s="34">
        <f t="shared" si="13"/>
        <v>0</v>
      </c>
      <c r="AK162" s="34">
        <f t="shared" si="14"/>
        <v>0</v>
      </c>
      <c r="AL162" s="34">
        <f t="shared" si="15"/>
        <v>0</v>
      </c>
      <c r="AN162" s="34">
        <v>21</v>
      </c>
      <c r="AO162" s="34">
        <f t="shared" si="16"/>
        <v>0</v>
      </c>
      <c r="AP162" s="34">
        <f t="shared" si="17"/>
        <v>0</v>
      </c>
      <c r="AQ162" s="35" t="s">
        <v>55</v>
      </c>
      <c r="AV162" s="34">
        <f t="shared" si="18"/>
        <v>0</v>
      </c>
      <c r="AW162" s="34">
        <f t="shared" si="19"/>
        <v>0</v>
      </c>
      <c r="AX162" s="34">
        <f t="shared" si="20"/>
        <v>0</v>
      </c>
      <c r="AY162" s="35" t="s">
        <v>305</v>
      </c>
      <c r="AZ162" s="35" t="s">
        <v>227</v>
      </c>
      <c r="BA162" s="11" t="s">
        <v>62</v>
      </c>
      <c r="BC162" s="34">
        <f t="shared" si="21"/>
        <v>0</v>
      </c>
      <c r="BD162" s="34">
        <f t="shared" si="22"/>
        <v>0</v>
      </c>
      <c r="BE162" s="34">
        <v>0</v>
      </c>
      <c r="BF162" s="34">
        <f t="shared" si="23"/>
        <v>0</v>
      </c>
      <c r="BH162" s="34">
        <f t="shared" si="24"/>
        <v>0</v>
      </c>
      <c r="BI162" s="34">
        <f t="shared" si="25"/>
        <v>0</v>
      </c>
      <c r="BJ162" s="34">
        <f t="shared" si="26"/>
        <v>0</v>
      </c>
      <c r="BK162" s="34"/>
      <c r="BL162" s="34">
        <v>59</v>
      </c>
      <c r="BW162" s="34" t="str">
        <f t="shared" si="27"/>
        <v>21</v>
      </c>
    </row>
    <row r="163" spans="1:75" ht="13.5" customHeight="1" x14ac:dyDescent="0.25">
      <c r="A163" s="2" t="s">
        <v>376</v>
      </c>
      <c r="B163" s="3" t="s">
        <v>51</v>
      </c>
      <c r="C163" s="3" t="s">
        <v>377</v>
      </c>
      <c r="D163" s="76" t="s">
        <v>378</v>
      </c>
      <c r="E163" s="77"/>
      <c r="F163" s="3" t="s">
        <v>487</v>
      </c>
      <c r="G163" s="34">
        <v>1</v>
      </c>
      <c r="H163" s="34"/>
      <c r="I163" s="35" t="s">
        <v>59</v>
      </c>
      <c r="J163" s="34">
        <f t="shared" si="0"/>
        <v>0</v>
      </c>
      <c r="K163" s="34">
        <f t="shared" si="1"/>
        <v>0</v>
      </c>
      <c r="L163" s="34">
        <f t="shared" si="2"/>
        <v>0</v>
      </c>
      <c r="M163" s="34">
        <f t="shared" si="3"/>
        <v>0</v>
      </c>
      <c r="N163" s="34">
        <v>0</v>
      </c>
      <c r="O163" s="34">
        <f t="shared" si="4"/>
        <v>0</v>
      </c>
      <c r="P163" s="36" t="s">
        <v>50</v>
      </c>
      <c r="Z163" s="34">
        <f t="shared" si="5"/>
        <v>0</v>
      </c>
      <c r="AB163" s="34">
        <f t="shared" si="6"/>
        <v>0</v>
      </c>
      <c r="AC163" s="34">
        <f t="shared" si="7"/>
        <v>0</v>
      </c>
      <c r="AD163" s="34">
        <f t="shared" si="8"/>
        <v>0</v>
      </c>
      <c r="AE163" s="34">
        <f t="shared" si="9"/>
        <v>0</v>
      </c>
      <c r="AF163" s="34">
        <f t="shared" si="10"/>
        <v>0</v>
      </c>
      <c r="AG163" s="34">
        <f t="shared" si="11"/>
        <v>0</v>
      </c>
      <c r="AH163" s="34">
        <f t="shared" si="12"/>
        <v>0</v>
      </c>
      <c r="AI163" s="11" t="s">
        <v>51</v>
      </c>
      <c r="AJ163" s="34">
        <f t="shared" si="13"/>
        <v>0</v>
      </c>
      <c r="AK163" s="34">
        <f t="shared" si="14"/>
        <v>0</v>
      </c>
      <c r="AL163" s="34">
        <f t="shared" si="15"/>
        <v>0</v>
      </c>
      <c r="AN163" s="34">
        <v>21</v>
      </c>
      <c r="AO163" s="34">
        <f t="shared" si="16"/>
        <v>0</v>
      </c>
      <c r="AP163" s="34">
        <f t="shared" si="17"/>
        <v>0</v>
      </c>
      <c r="AQ163" s="35" t="s">
        <v>55</v>
      </c>
      <c r="AV163" s="34">
        <f t="shared" si="18"/>
        <v>0</v>
      </c>
      <c r="AW163" s="34">
        <f t="shared" si="19"/>
        <v>0</v>
      </c>
      <c r="AX163" s="34">
        <f t="shared" si="20"/>
        <v>0</v>
      </c>
      <c r="AY163" s="35" t="s">
        <v>305</v>
      </c>
      <c r="AZ163" s="35" t="s">
        <v>227</v>
      </c>
      <c r="BA163" s="11" t="s">
        <v>62</v>
      </c>
      <c r="BC163" s="34">
        <f t="shared" si="21"/>
        <v>0</v>
      </c>
      <c r="BD163" s="34">
        <f t="shared" si="22"/>
        <v>0</v>
      </c>
      <c r="BE163" s="34">
        <v>0</v>
      </c>
      <c r="BF163" s="34">
        <f t="shared" si="23"/>
        <v>0</v>
      </c>
      <c r="BH163" s="34">
        <f t="shared" si="24"/>
        <v>0</v>
      </c>
      <c r="BI163" s="34">
        <f t="shared" si="25"/>
        <v>0</v>
      </c>
      <c r="BJ163" s="34">
        <f t="shared" si="26"/>
        <v>0</v>
      </c>
      <c r="BK163" s="34"/>
      <c r="BL163" s="34">
        <v>59</v>
      </c>
      <c r="BW163" s="34" t="str">
        <f t="shared" si="27"/>
        <v>21</v>
      </c>
    </row>
    <row r="164" spans="1:75" ht="13.5" customHeight="1" x14ac:dyDescent="0.25">
      <c r="A164" s="2" t="s">
        <v>379</v>
      </c>
      <c r="B164" s="3" t="s">
        <v>51</v>
      </c>
      <c r="C164" s="3" t="s">
        <v>380</v>
      </c>
      <c r="D164" s="76" t="s">
        <v>381</v>
      </c>
      <c r="E164" s="77"/>
      <c r="F164" s="3" t="s">
        <v>487</v>
      </c>
      <c r="G164" s="34">
        <v>2</v>
      </c>
      <c r="H164" s="34"/>
      <c r="I164" s="35" t="s">
        <v>59</v>
      </c>
      <c r="J164" s="34">
        <f t="shared" si="0"/>
        <v>0</v>
      </c>
      <c r="K164" s="34">
        <f t="shared" si="1"/>
        <v>0</v>
      </c>
      <c r="L164" s="34">
        <f t="shared" si="2"/>
        <v>0</v>
      </c>
      <c r="M164" s="34">
        <f t="shared" si="3"/>
        <v>0</v>
      </c>
      <c r="N164" s="34">
        <v>0</v>
      </c>
      <c r="O164" s="34">
        <f t="shared" si="4"/>
        <v>0</v>
      </c>
      <c r="P164" s="36" t="s">
        <v>50</v>
      </c>
      <c r="Z164" s="34">
        <f t="shared" si="5"/>
        <v>0</v>
      </c>
      <c r="AB164" s="34">
        <f t="shared" si="6"/>
        <v>0</v>
      </c>
      <c r="AC164" s="34">
        <f t="shared" si="7"/>
        <v>0</v>
      </c>
      <c r="AD164" s="34">
        <f t="shared" si="8"/>
        <v>0</v>
      </c>
      <c r="AE164" s="34">
        <f t="shared" si="9"/>
        <v>0</v>
      </c>
      <c r="AF164" s="34">
        <f t="shared" si="10"/>
        <v>0</v>
      </c>
      <c r="AG164" s="34">
        <f t="shared" si="11"/>
        <v>0</v>
      </c>
      <c r="AH164" s="34">
        <f t="shared" si="12"/>
        <v>0</v>
      </c>
      <c r="AI164" s="11" t="s">
        <v>51</v>
      </c>
      <c r="AJ164" s="34">
        <f t="shared" si="13"/>
        <v>0</v>
      </c>
      <c r="AK164" s="34">
        <f t="shared" si="14"/>
        <v>0</v>
      </c>
      <c r="AL164" s="34">
        <f t="shared" si="15"/>
        <v>0</v>
      </c>
      <c r="AN164" s="34">
        <v>21</v>
      </c>
      <c r="AO164" s="34">
        <f t="shared" si="16"/>
        <v>0</v>
      </c>
      <c r="AP164" s="34">
        <f t="shared" si="17"/>
        <v>0</v>
      </c>
      <c r="AQ164" s="35" t="s">
        <v>55</v>
      </c>
      <c r="AV164" s="34">
        <f t="shared" si="18"/>
        <v>0</v>
      </c>
      <c r="AW164" s="34">
        <f t="shared" si="19"/>
        <v>0</v>
      </c>
      <c r="AX164" s="34">
        <f t="shared" si="20"/>
        <v>0</v>
      </c>
      <c r="AY164" s="35" t="s">
        <v>305</v>
      </c>
      <c r="AZ164" s="35" t="s">
        <v>227</v>
      </c>
      <c r="BA164" s="11" t="s">
        <v>62</v>
      </c>
      <c r="BC164" s="34">
        <f t="shared" si="21"/>
        <v>0</v>
      </c>
      <c r="BD164" s="34">
        <f t="shared" si="22"/>
        <v>0</v>
      </c>
      <c r="BE164" s="34">
        <v>0</v>
      </c>
      <c r="BF164" s="34">
        <f t="shared" si="23"/>
        <v>0</v>
      </c>
      <c r="BH164" s="34">
        <f t="shared" si="24"/>
        <v>0</v>
      </c>
      <c r="BI164" s="34">
        <f t="shared" si="25"/>
        <v>0</v>
      </c>
      <c r="BJ164" s="34">
        <f t="shared" si="26"/>
        <v>0</v>
      </c>
      <c r="BK164" s="34"/>
      <c r="BL164" s="34">
        <v>59</v>
      </c>
      <c r="BW164" s="34" t="str">
        <f t="shared" si="27"/>
        <v>21</v>
      </c>
    </row>
    <row r="165" spans="1:75" ht="13.5" customHeight="1" x14ac:dyDescent="0.25">
      <c r="A165" s="2" t="s">
        <v>382</v>
      </c>
      <c r="B165" s="3" t="s">
        <v>51</v>
      </c>
      <c r="C165" s="3" t="s">
        <v>383</v>
      </c>
      <c r="D165" s="76" t="s">
        <v>384</v>
      </c>
      <c r="E165" s="77"/>
      <c r="F165" s="3" t="s">
        <v>115</v>
      </c>
      <c r="G165" s="34">
        <v>5</v>
      </c>
      <c r="H165" s="34"/>
      <c r="I165" s="35" t="s">
        <v>59</v>
      </c>
      <c r="J165" s="34">
        <f t="shared" si="0"/>
        <v>0</v>
      </c>
      <c r="K165" s="34">
        <f t="shared" si="1"/>
        <v>0</v>
      </c>
      <c r="L165" s="34">
        <f t="shared" si="2"/>
        <v>0</v>
      </c>
      <c r="M165" s="34">
        <f t="shared" si="3"/>
        <v>0</v>
      </c>
      <c r="N165" s="34">
        <v>0.2843</v>
      </c>
      <c r="O165" s="34">
        <f t="shared" si="4"/>
        <v>1.4215</v>
      </c>
      <c r="P165" s="36" t="s">
        <v>50</v>
      </c>
      <c r="Z165" s="34">
        <f t="shared" si="5"/>
        <v>0</v>
      </c>
      <c r="AB165" s="34">
        <f t="shared" si="6"/>
        <v>0</v>
      </c>
      <c r="AC165" s="34">
        <f t="shared" si="7"/>
        <v>0</v>
      </c>
      <c r="AD165" s="34">
        <f t="shared" si="8"/>
        <v>0</v>
      </c>
      <c r="AE165" s="34">
        <f t="shared" si="9"/>
        <v>0</v>
      </c>
      <c r="AF165" s="34">
        <f t="shared" si="10"/>
        <v>0</v>
      </c>
      <c r="AG165" s="34">
        <f t="shared" si="11"/>
        <v>0</v>
      </c>
      <c r="AH165" s="34">
        <f t="shared" si="12"/>
        <v>0</v>
      </c>
      <c r="AI165" s="11" t="s">
        <v>51</v>
      </c>
      <c r="AJ165" s="34">
        <f t="shared" si="13"/>
        <v>0</v>
      </c>
      <c r="AK165" s="34">
        <f t="shared" si="14"/>
        <v>0</v>
      </c>
      <c r="AL165" s="34">
        <f t="shared" si="15"/>
        <v>0</v>
      </c>
      <c r="AN165" s="34">
        <v>21</v>
      </c>
      <c r="AO165" s="34">
        <f t="shared" si="16"/>
        <v>0</v>
      </c>
      <c r="AP165" s="34">
        <f t="shared" si="17"/>
        <v>0</v>
      </c>
      <c r="AQ165" s="35" t="s">
        <v>55</v>
      </c>
      <c r="AV165" s="34">
        <f t="shared" si="18"/>
        <v>0</v>
      </c>
      <c r="AW165" s="34">
        <f t="shared" si="19"/>
        <v>0</v>
      </c>
      <c r="AX165" s="34">
        <f t="shared" si="20"/>
        <v>0</v>
      </c>
      <c r="AY165" s="35" t="s">
        <v>305</v>
      </c>
      <c r="AZ165" s="35" t="s">
        <v>227</v>
      </c>
      <c r="BA165" s="11" t="s">
        <v>62</v>
      </c>
      <c r="BC165" s="34">
        <f t="shared" si="21"/>
        <v>0</v>
      </c>
      <c r="BD165" s="34">
        <f t="shared" si="22"/>
        <v>0</v>
      </c>
      <c r="BE165" s="34">
        <v>0</v>
      </c>
      <c r="BF165" s="34">
        <f t="shared" si="23"/>
        <v>1.4215</v>
      </c>
      <c r="BH165" s="34">
        <f t="shared" si="24"/>
        <v>0</v>
      </c>
      <c r="BI165" s="34">
        <f t="shared" si="25"/>
        <v>0</v>
      </c>
      <c r="BJ165" s="34">
        <f t="shared" si="26"/>
        <v>0</v>
      </c>
      <c r="BK165" s="34"/>
      <c r="BL165" s="34">
        <v>59</v>
      </c>
      <c r="BW165" s="34" t="str">
        <f t="shared" si="27"/>
        <v>21</v>
      </c>
    </row>
    <row r="166" spans="1:75" ht="13.5" customHeight="1" x14ac:dyDescent="0.25">
      <c r="A166" s="2" t="s">
        <v>385</v>
      </c>
      <c r="B166" s="3" t="s">
        <v>51</v>
      </c>
      <c r="C166" s="3" t="s">
        <v>386</v>
      </c>
      <c r="D166" s="76" t="s">
        <v>369</v>
      </c>
      <c r="E166" s="77"/>
      <c r="F166" s="3" t="s">
        <v>487</v>
      </c>
      <c r="G166" s="34">
        <v>10</v>
      </c>
      <c r="H166" s="34"/>
      <c r="I166" s="35" t="s">
        <v>59</v>
      </c>
      <c r="J166" s="34">
        <f t="shared" si="0"/>
        <v>0</v>
      </c>
      <c r="K166" s="34">
        <f t="shared" si="1"/>
        <v>0</v>
      </c>
      <c r="L166" s="34">
        <f t="shared" si="2"/>
        <v>0</v>
      </c>
      <c r="M166" s="34">
        <f t="shared" si="3"/>
        <v>0</v>
      </c>
      <c r="N166" s="34">
        <v>0</v>
      </c>
      <c r="O166" s="34">
        <f t="shared" si="4"/>
        <v>0</v>
      </c>
      <c r="P166" s="36" t="s">
        <v>50</v>
      </c>
      <c r="Z166" s="34">
        <f t="shared" si="5"/>
        <v>0</v>
      </c>
      <c r="AB166" s="34">
        <f t="shared" si="6"/>
        <v>0</v>
      </c>
      <c r="AC166" s="34">
        <f t="shared" si="7"/>
        <v>0</v>
      </c>
      <c r="AD166" s="34">
        <f t="shared" si="8"/>
        <v>0</v>
      </c>
      <c r="AE166" s="34">
        <f t="shared" si="9"/>
        <v>0</v>
      </c>
      <c r="AF166" s="34">
        <f t="shared" si="10"/>
        <v>0</v>
      </c>
      <c r="AG166" s="34">
        <f t="shared" si="11"/>
        <v>0</v>
      </c>
      <c r="AH166" s="34">
        <f t="shared" si="12"/>
        <v>0</v>
      </c>
      <c r="AI166" s="11" t="s">
        <v>51</v>
      </c>
      <c r="AJ166" s="34">
        <f t="shared" si="13"/>
        <v>0</v>
      </c>
      <c r="AK166" s="34">
        <f t="shared" si="14"/>
        <v>0</v>
      </c>
      <c r="AL166" s="34">
        <f t="shared" si="15"/>
        <v>0</v>
      </c>
      <c r="AN166" s="34">
        <v>21</v>
      </c>
      <c r="AO166" s="34">
        <f t="shared" si="16"/>
        <v>0</v>
      </c>
      <c r="AP166" s="34">
        <f t="shared" si="17"/>
        <v>0</v>
      </c>
      <c r="AQ166" s="35" t="s">
        <v>55</v>
      </c>
      <c r="AV166" s="34">
        <f t="shared" si="18"/>
        <v>0</v>
      </c>
      <c r="AW166" s="34">
        <f t="shared" si="19"/>
        <v>0</v>
      </c>
      <c r="AX166" s="34">
        <f t="shared" si="20"/>
        <v>0</v>
      </c>
      <c r="AY166" s="35" t="s">
        <v>305</v>
      </c>
      <c r="AZ166" s="35" t="s">
        <v>227</v>
      </c>
      <c r="BA166" s="11" t="s">
        <v>62</v>
      </c>
      <c r="BC166" s="34">
        <f t="shared" si="21"/>
        <v>0</v>
      </c>
      <c r="BD166" s="34">
        <f t="shared" si="22"/>
        <v>0</v>
      </c>
      <c r="BE166" s="34">
        <v>0</v>
      </c>
      <c r="BF166" s="34">
        <f t="shared" si="23"/>
        <v>0</v>
      </c>
      <c r="BH166" s="34">
        <f t="shared" si="24"/>
        <v>0</v>
      </c>
      <c r="BI166" s="34">
        <f t="shared" si="25"/>
        <v>0</v>
      </c>
      <c r="BJ166" s="34">
        <f t="shared" si="26"/>
        <v>0</v>
      </c>
      <c r="BK166" s="34"/>
      <c r="BL166" s="34">
        <v>59</v>
      </c>
      <c r="BW166" s="34" t="str">
        <f t="shared" si="27"/>
        <v>21</v>
      </c>
    </row>
    <row r="167" spans="1:75" ht="13.5" customHeight="1" x14ac:dyDescent="0.25">
      <c r="A167" s="2" t="s">
        <v>387</v>
      </c>
      <c r="B167" s="3" t="s">
        <v>51</v>
      </c>
      <c r="C167" s="3" t="s">
        <v>388</v>
      </c>
      <c r="D167" s="76" t="s">
        <v>372</v>
      </c>
      <c r="E167" s="77"/>
      <c r="F167" s="3" t="s">
        <v>487</v>
      </c>
      <c r="G167" s="34">
        <v>4</v>
      </c>
      <c r="H167" s="34"/>
      <c r="I167" s="35" t="s">
        <v>59</v>
      </c>
      <c r="J167" s="34">
        <f t="shared" si="0"/>
        <v>0</v>
      </c>
      <c r="K167" s="34">
        <f t="shared" si="1"/>
        <v>0</v>
      </c>
      <c r="L167" s="34">
        <f t="shared" si="2"/>
        <v>0</v>
      </c>
      <c r="M167" s="34">
        <f t="shared" si="3"/>
        <v>0</v>
      </c>
      <c r="N167" s="34">
        <v>0</v>
      </c>
      <c r="O167" s="34">
        <f t="shared" si="4"/>
        <v>0</v>
      </c>
      <c r="P167" s="36" t="s">
        <v>50</v>
      </c>
      <c r="Z167" s="34">
        <f t="shared" si="5"/>
        <v>0</v>
      </c>
      <c r="AB167" s="34">
        <f t="shared" si="6"/>
        <v>0</v>
      </c>
      <c r="AC167" s="34">
        <f t="shared" si="7"/>
        <v>0</v>
      </c>
      <c r="AD167" s="34">
        <f t="shared" si="8"/>
        <v>0</v>
      </c>
      <c r="AE167" s="34">
        <f t="shared" si="9"/>
        <v>0</v>
      </c>
      <c r="AF167" s="34">
        <f t="shared" si="10"/>
        <v>0</v>
      </c>
      <c r="AG167" s="34">
        <f t="shared" si="11"/>
        <v>0</v>
      </c>
      <c r="AH167" s="34">
        <f t="shared" si="12"/>
        <v>0</v>
      </c>
      <c r="AI167" s="11" t="s">
        <v>51</v>
      </c>
      <c r="AJ167" s="34">
        <f t="shared" si="13"/>
        <v>0</v>
      </c>
      <c r="AK167" s="34">
        <f t="shared" si="14"/>
        <v>0</v>
      </c>
      <c r="AL167" s="34">
        <f t="shared" si="15"/>
        <v>0</v>
      </c>
      <c r="AN167" s="34">
        <v>21</v>
      </c>
      <c r="AO167" s="34">
        <f t="shared" si="16"/>
        <v>0</v>
      </c>
      <c r="AP167" s="34">
        <f t="shared" si="17"/>
        <v>0</v>
      </c>
      <c r="AQ167" s="35" t="s">
        <v>55</v>
      </c>
      <c r="AV167" s="34">
        <f t="shared" si="18"/>
        <v>0</v>
      </c>
      <c r="AW167" s="34">
        <f t="shared" si="19"/>
        <v>0</v>
      </c>
      <c r="AX167" s="34">
        <f t="shared" si="20"/>
        <v>0</v>
      </c>
      <c r="AY167" s="35" t="s">
        <v>305</v>
      </c>
      <c r="AZ167" s="35" t="s">
        <v>227</v>
      </c>
      <c r="BA167" s="11" t="s">
        <v>62</v>
      </c>
      <c r="BC167" s="34">
        <f t="shared" si="21"/>
        <v>0</v>
      </c>
      <c r="BD167" s="34">
        <f t="shared" si="22"/>
        <v>0</v>
      </c>
      <c r="BE167" s="34">
        <v>0</v>
      </c>
      <c r="BF167" s="34">
        <f t="shared" si="23"/>
        <v>0</v>
      </c>
      <c r="BH167" s="34">
        <f t="shared" si="24"/>
        <v>0</v>
      </c>
      <c r="BI167" s="34">
        <f t="shared" si="25"/>
        <v>0</v>
      </c>
      <c r="BJ167" s="34">
        <f t="shared" si="26"/>
        <v>0</v>
      </c>
      <c r="BK167" s="34"/>
      <c r="BL167" s="34">
        <v>59</v>
      </c>
      <c r="BW167" s="34" t="str">
        <f t="shared" si="27"/>
        <v>21</v>
      </c>
    </row>
    <row r="168" spans="1:75" ht="13.5" customHeight="1" x14ac:dyDescent="0.25">
      <c r="A168" s="2" t="s">
        <v>389</v>
      </c>
      <c r="B168" s="3" t="s">
        <v>51</v>
      </c>
      <c r="C168" s="3" t="s">
        <v>390</v>
      </c>
      <c r="D168" s="76" t="s">
        <v>375</v>
      </c>
      <c r="E168" s="77"/>
      <c r="F168" s="3" t="s">
        <v>487</v>
      </c>
      <c r="G168" s="34">
        <v>1</v>
      </c>
      <c r="H168" s="34"/>
      <c r="I168" s="35" t="s">
        <v>59</v>
      </c>
      <c r="J168" s="34">
        <f t="shared" si="0"/>
        <v>0</v>
      </c>
      <c r="K168" s="34">
        <f t="shared" si="1"/>
        <v>0</v>
      </c>
      <c r="L168" s="34">
        <f t="shared" si="2"/>
        <v>0</v>
      </c>
      <c r="M168" s="34">
        <f t="shared" si="3"/>
        <v>0</v>
      </c>
      <c r="N168" s="34">
        <v>0</v>
      </c>
      <c r="O168" s="34">
        <f t="shared" si="4"/>
        <v>0</v>
      </c>
      <c r="P168" s="36" t="s">
        <v>50</v>
      </c>
      <c r="Z168" s="34">
        <f t="shared" si="5"/>
        <v>0</v>
      </c>
      <c r="AB168" s="34">
        <f t="shared" si="6"/>
        <v>0</v>
      </c>
      <c r="AC168" s="34">
        <f t="shared" si="7"/>
        <v>0</v>
      </c>
      <c r="AD168" s="34">
        <f t="shared" si="8"/>
        <v>0</v>
      </c>
      <c r="AE168" s="34">
        <f t="shared" si="9"/>
        <v>0</v>
      </c>
      <c r="AF168" s="34">
        <f t="shared" si="10"/>
        <v>0</v>
      </c>
      <c r="AG168" s="34">
        <f t="shared" si="11"/>
        <v>0</v>
      </c>
      <c r="AH168" s="34">
        <f t="shared" si="12"/>
        <v>0</v>
      </c>
      <c r="AI168" s="11" t="s">
        <v>51</v>
      </c>
      <c r="AJ168" s="34">
        <f t="shared" si="13"/>
        <v>0</v>
      </c>
      <c r="AK168" s="34">
        <f t="shared" si="14"/>
        <v>0</v>
      </c>
      <c r="AL168" s="34">
        <f t="shared" si="15"/>
        <v>0</v>
      </c>
      <c r="AN168" s="34">
        <v>21</v>
      </c>
      <c r="AO168" s="34">
        <f t="shared" si="16"/>
        <v>0</v>
      </c>
      <c r="AP168" s="34">
        <f t="shared" si="17"/>
        <v>0</v>
      </c>
      <c r="AQ168" s="35" t="s">
        <v>55</v>
      </c>
      <c r="AV168" s="34">
        <f t="shared" si="18"/>
        <v>0</v>
      </c>
      <c r="AW168" s="34">
        <f t="shared" si="19"/>
        <v>0</v>
      </c>
      <c r="AX168" s="34">
        <f t="shared" si="20"/>
        <v>0</v>
      </c>
      <c r="AY168" s="35" t="s">
        <v>305</v>
      </c>
      <c r="AZ168" s="35" t="s">
        <v>227</v>
      </c>
      <c r="BA168" s="11" t="s">
        <v>62</v>
      </c>
      <c r="BC168" s="34">
        <f t="shared" si="21"/>
        <v>0</v>
      </c>
      <c r="BD168" s="34">
        <f t="shared" si="22"/>
        <v>0</v>
      </c>
      <c r="BE168" s="34">
        <v>0</v>
      </c>
      <c r="BF168" s="34">
        <f t="shared" si="23"/>
        <v>0</v>
      </c>
      <c r="BH168" s="34">
        <f t="shared" si="24"/>
        <v>0</v>
      </c>
      <c r="BI168" s="34">
        <f t="shared" si="25"/>
        <v>0</v>
      </c>
      <c r="BJ168" s="34">
        <f t="shared" si="26"/>
        <v>0</v>
      </c>
      <c r="BK168" s="34"/>
      <c r="BL168" s="34">
        <v>59</v>
      </c>
      <c r="BW168" s="34" t="str">
        <f t="shared" si="27"/>
        <v>21</v>
      </c>
    </row>
    <row r="169" spans="1:75" ht="13.5" customHeight="1" x14ac:dyDescent="0.25">
      <c r="A169" s="2" t="s">
        <v>391</v>
      </c>
      <c r="B169" s="3" t="s">
        <v>51</v>
      </c>
      <c r="C169" s="3" t="s">
        <v>392</v>
      </c>
      <c r="D169" s="76" t="s">
        <v>378</v>
      </c>
      <c r="E169" s="77"/>
      <c r="F169" s="3" t="s">
        <v>487</v>
      </c>
      <c r="G169" s="34">
        <v>1</v>
      </c>
      <c r="H169" s="34"/>
      <c r="I169" s="35" t="s">
        <v>59</v>
      </c>
      <c r="J169" s="34">
        <f t="shared" si="0"/>
        <v>0</v>
      </c>
      <c r="K169" s="34">
        <f t="shared" si="1"/>
        <v>0</v>
      </c>
      <c r="L169" s="34">
        <f t="shared" si="2"/>
        <v>0</v>
      </c>
      <c r="M169" s="34">
        <f t="shared" si="3"/>
        <v>0</v>
      </c>
      <c r="N169" s="34">
        <v>0</v>
      </c>
      <c r="O169" s="34">
        <f t="shared" si="4"/>
        <v>0</v>
      </c>
      <c r="P169" s="36" t="s">
        <v>50</v>
      </c>
      <c r="Z169" s="34">
        <f t="shared" si="5"/>
        <v>0</v>
      </c>
      <c r="AB169" s="34">
        <f t="shared" si="6"/>
        <v>0</v>
      </c>
      <c r="AC169" s="34">
        <f t="shared" si="7"/>
        <v>0</v>
      </c>
      <c r="AD169" s="34">
        <f t="shared" si="8"/>
        <v>0</v>
      </c>
      <c r="AE169" s="34">
        <f t="shared" si="9"/>
        <v>0</v>
      </c>
      <c r="AF169" s="34">
        <f t="shared" si="10"/>
        <v>0</v>
      </c>
      <c r="AG169" s="34">
        <f t="shared" si="11"/>
        <v>0</v>
      </c>
      <c r="AH169" s="34">
        <f t="shared" si="12"/>
        <v>0</v>
      </c>
      <c r="AI169" s="11" t="s">
        <v>51</v>
      </c>
      <c r="AJ169" s="34">
        <f t="shared" si="13"/>
        <v>0</v>
      </c>
      <c r="AK169" s="34">
        <f t="shared" si="14"/>
        <v>0</v>
      </c>
      <c r="AL169" s="34">
        <f t="shared" si="15"/>
        <v>0</v>
      </c>
      <c r="AN169" s="34">
        <v>21</v>
      </c>
      <c r="AO169" s="34">
        <f t="shared" si="16"/>
        <v>0</v>
      </c>
      <c r="AP169" s="34">
        <f t="shared" si="17"/>
        <v>0</v>
      </c>
      <c r="AQ169" s="35" t="s">
        <v>55</v>
      </c>
      <c r="AV169" s="34">
        <f t="shared" si="18"/>
        <v>0</v>
      </c>
      <c r="AW169" s="34">
        <f t="shared" si="19"/>
        <v>0</v>
      </c>
      <c r="AX169" s="34">
        <f t="shared" si="20"/>
        <v>0</v>
      </c>
      <c r="AY169" s="35" t="s">
        <v>305</v>
      </c>
      <c r="AZ169" s="35" t="s">
        <v>227</v>
      </c>
      <c r="BA169" s="11" t="s">
        <v>62</v>
      </c>
      <c r="BC169" s="34">
        <f t="shared" si="21"/>
        <v>0</v>
      </c>
      <c r="BD169" s="34">
        <f t="shared" si="22"/>
        <v>0</v>
      </c>
      <c r="BE169" s="34">
        <v>0</v>
      </c>
      <c r="BF169" s="34">
        <f t="shared" si="23"/>
        <v>0</v>
      </c>
      <c r="BH169" s="34">
        <f t="shared" si="24"/>
        <v>0</v>
      </c>
      <c r="BI169" s="34">
        <f t="shared" si="25"/>
        <v>0</v>
      </c>
      <c r="BJ169" s="34">
        <f t="shared" si="26"/>
        <v>0</v>
      </c>
      <c r="BK169" s="34"/>
      <c r="BL169" s="34">
        <v>59</v>
      </c>
      <c r="BW169" s="34" t="str">
        <f t="shared" si="27"/>
        <v>21</v>
      </c>
    </row>
    <row r="170" spans="1:75" ht="13.5" customHeight="1" x14ac:dyDescent="0.25">
      <c r="A170" s="2" t="s">
        <v>393</v>
      </c>
      <c r="B170" s="3" t="s">
        <v>51</v>
      </c>
      <c r="C170" s="3" t="s">
        <v>394</v>
      </c>
      <c r="D170" s="76" t="s">
        <v>381</v>
      </c>
      <c r="E170" s="77"/>
      <c r="F170" s="3" t="s">
        <v>487</v>
      </c>
      <c r="G170" s="34">
        <v>2</v>
      </c>
      <c r="H170" s="34"/>
      <c r="I170" s="35" t="s">
        <v>59</v>
      </c>
      <c r="J170" s="34">
        <f t="shared" si="0"/>
        <v>0</v>
      </c>
      <c r="K170" s="34">
        <f t="shared" si="1"/>
        <v>0</v>
      </c>
      <c r="L170" s="34">
        <f t="shared" si="2"/>
        <v>0</v>
      </c>
      <c r="M170" s="34">
        <f t="shared" si="3"/>
        <v>0</v>
      </c>
      <c r="N170" s="34">
        <v>0</v>
      </c>
      <c r="O170" s="34">
        <f t="shared" si="4"/>
        <v>0</v>
      </c>
      <c r="P170" s="36" t="s">
        <v>50</v>
      </c>
      <c r="Z170" s="34">
        <f t="shared" si="5"/>
        <v>0</v>
      </c>
      <c r="AB170" s="34">
        <f t="shared" si="6"/>
        <v>0</v>
      </c>
      <c r="AC170" s="34">
        <f t="shared" si="7"/>
        <v>0</v>
      </c>
      <c r="AD170" s="34">
        <f t="shared" si="8"/>
        <v>0</v>
      </c>
      <c r="AE170" s="34">
        <f t="shared" si="9"/>
        <v>0</v>
      </c>
      <c r="AF170" s="34">
        <f t="shared" si="10"/>
        <v>0</v>
      </c>
      <c r="AG170" s="34">
        <f t="shared" si="11"/>
        <v>0</v>
      </c>
      <c r="AH170" s="34">
        <f t="shared" si="12"/>
        <v>0</v>
      </c>
      <c r="AI170" s="11" t="s">
        <v>51</v>
      </c>
      <c r="AJ170" s="34">
        <f t="shared" si="13"/>
        <v>0</v>
      </c>
      <c r="AK170" s="34">
        <f t="shared" si="14"/>
        <v>0</v>
      </c>
      <c r="AL170" s="34">
        <f t="shared" si="15"/>
        <v>0</v>
      </c>
      <c r="AN170" s="34">
        <v>21</v>
      </c>
      <c r="AO170" s="34">
        <f t="shared" si="16"/>
        <v>0</v>
      </c>
      <c r="AP170" s="34">
        <f t="shared" si="17"/>
        <v>0</v>
      </c>
      <c r="AQ170" s="35" t="s">
        <v>55</v>
      </c>
      <c r="AV170" s="34">
        <f t="shared" si="18"/>
        <v>0</v>
      </c>
      <c r="AW170" s="34">
        <f t="shared" si="19"/>
        <v>0</v>
      </c>
      <c r="AX170" s="34">
        <f t="shared" si="20"/>
        <v>0</v>
      </c>
      <c r="AY170" s="35" t="s">
        <v>305</v>
      </c>
      <c r="AZ170" s="35" t="s">
        <v>227</v>
      </c>
      <c r="BA170" s="11" t="s">
        <v>62</v>
      </c>
      <c r="BC170" s="34">
        <f t="shared" si="21"/>
        <v>0</v>
      </c>
      <c r="BD170" s="34">
        <f t="shared" si="22"/>
        <v>0</v>
      </c>
      <c r="BE170" s="34">
        <v>0</v>
      </c>
      <c r="BF170" s="34">
        <f t="shared" si="23"/>
        <v>0</v>
      </c>
      <c r="BH170" s="34">
        <f t="shared" si="24"/>
        <v>0</v>
      </c>
      <c r="BI170" s="34">
        <f t="shared" si="25"/>
        <v>0</v>
      </c>
      <c r="BJ170" s="34">
        <f t="shared" si="26"/>
        <v>0</v>
      </c>
      <c r="BK170" s="34"/>
      <c r="BL170" s="34">
        <v>59</v>
      </c>
      <c r="BW170" s="34" t="str">
        <f t="shared" si="27"/>
        <v>21</v>
      </c>
    </row>
    <row r="171" spans="1:75" ht="13.5" customHeight="1" x14ac:dyDescent="0.25">
      <c r="A171" s="2" t="s">
        <v>395</v>
      </c>
      <c r="B171" s="3" t="s">
        <v>51</v>
      </c>
      <c r="C171" s="3" t="s">
        <v>396</v>
      </c>
      <c r="D171" s="76" t="s">
        <v>397</v>
      </c>
      <c r="E171" s="77"/>
      <c r="F171" s="3" t="s">
        <v>115</v>
      </c>
      <c r="G171" s="34">
        <v>12</v>
      </c>
      <c r="H171" s="34"/>
      <c r="I171" s="35" t="s">
        <v>59</v>
      </c>
      <c r="J171" s="34">
        <f t="shared" si="0"/>
        <v>0</v>
      </c>
      <c r="K171" s="34">
        <f t="shared" si="1"/>
        <v>0</v>
      </c>
      <c r="L171" s="34">
        <f t="shared" si="2"/>
        <v>0</v>
      </c>
      <c r="M171" s="34">
        <f t="shared" si="3"/>
        <v>0</v>
      </c>
      <c r="N171" s="34">
        <v>0.2843</v>
      </c>
      <c r="O171" s="34">
        <f t="shared" si="4"/>
        <v>3.4116</v>
      </c>
      <c r="P171" s="36" t="s">
        <v>50</v>
      </c>
      <c r="Z171" s="34">
        <f t="shared" si="5"/>
        <v>0</v>
      </c>
      <c r="AB171" s="34">
        <f t="shared" si="6"/>
        <v>0</v>
      </c>
      <c r="AC171" s="34">
        <f t="shared" si="7"/>
        <v>0</v>
      </c>
      <c r="AD171" s="34">
        <f t="shared" si="8"/>
        <v>0</v>
      </c>
      <c r="AE171" s="34">
        <f t="shared" si="9"/>
        <v>0</v>
      </c>
      <c r="AF171" s="34">
        <f t="shared" si="10"/>
        <v>0</v>
      </c>
      <c r="AG171" s="34">
        <f t="shared" si="11"/>
        <v>0</v>
      </c>
      <c r="AH171" s="34">
        <f t="shared" si="12"/>
        <v>0</v>
      </c>
      <c r="AI171" s="11" t="s">
        <v>51</v>
      </c>
      <c r="AJ171" s="34">
        <f t="shared" si="13"/>
        <v>0</v>
      </c>
      <c r="AK171" s="34">
        <f t="shared" si="14"/>
        <v>0</v>
      </c>
      <c r="AL171" s="34">
        <f t="shared" si="15"/>
        <v>0</v>
      </c>
      <c r="AN171" s="34">
        <v>21</v>
      </c>
      <c r="AO171" s="34">
        <f t="shared" si="16"/>
        <v>0</v>
      </c>
      <c r="AP171" s="34">
        <f t="shared" si="17"/>
        <v>0</v>
      </c>
      <c r="AQ171" s="35" t="s">
        <v>55</v>
      </c>
      <c r="AV171" s="34">
        <f t="shared" si="18"/>
        <v>0</v>
      </c>
      <c r="AW171" s="34">
        <f t="shared" si="19"/>
        <v>0</v>
      </c>
      <c r="AX171" s="34">
        <f t="shared" si="20"/>
        <v>0</v>
      </c>
      <c r="AY171" s="35" t="s">
        <v>305</v>
      </c>
      <c r="AZ171" s="35" t="s">
        <v>227</v>
      </c>
      <c r="BA171" s="11" t="s">
        <v>62</v>
      </c>
      <c r="BC171" s="34">
        <f t="shared" si="21"/>
        <v>0</v>
      </c>
      <c r="BD171" s="34">
        <f t="shared" si="22"/>
        <v>0</v>
      </c>
      <c r="BE171" s="34">
        <v>0</v>
      </c>
      <c r="BF171" s="34">
        <f t="shared" si="23"/>
        <v>3.4116</v>
      </c>
      <c r="BH171" s="34">
        <f t="shared" si="24"/>
        <v>0</v>
      </c>
      <c r="BI171" s="34">
        <f t="shared" si="25"/>
        <v>0</v>
      </c>
      <c r="BJ171" s="34">
        <f t="shared" si="26"/>
        <v>0</v>
      </c>
      <c r="BK171" s="34"/>
      <c r="BL171" s="34">
        <v>59</v>
      </c>
      <c r="BW171" s="34" t="str">
        <f t="shared" si="27"/>
        <v>21</v>
      </c>
    </row>
    <row r="172" spans="1:75" ht="13.5" customHeight="1" x14ac:dyDescent="0.25">
      <c r="A172" s="2" t="s">
        <v>398</v>
      </c>
      <c r="B172" s="3" t="s">
        <v>51</v>
      </c>
      <c r="C172" s="3" t="s">
        <v>399</v>
      </c>
      <c r="D172" s="76" t="s">
        <v>351</v>
      </c>
      <c r="E172" s="77"/>
      <c r="F172" s="3" t="s">
        <v>487</v>
      </c>
      <c r="G172" s="34">
        <v>24</v>
      </c>
      <c r="H172" s="34"/>
      <c r="I172" s="35" t="s">
        <v>59</v>
      </c>
      <c r="J172" s="34">
        <f t="shared" si="0"/>
        <v>0</v>
      </c>
      <c r="K172" s="34">
        <f t="shared" si="1"/>
        <v>0</v>
      </c>
      <c r="L172" s="34">
        <f t="shared" si="2"/>
        <v>0</v>
      </c>
      <c r="M172" s="34">
        <f t="shared" si="3"/>
        <v>0</v>
      </c>
      <c r="N172" s="34">
        <v>0</v>
      </c>
      <c r="O172" s="34">
        <f t="shared" si="4"/>
        <v>0</v>
      </c>
      <c r="P172" s="36" t="s">
        <v>50</v>
      </c>
      <c r="Z172" s="34">
        <f t="shared" si="5"/>
        <v>0</v>
      </c>
      <c r="AB172" s="34">
        <f t="shared" si="6"/>
        <v>0</v>
      </c>
      <c r="AC172" s="34">
        <f t="shared" si="7"/>
        <v>0</v>
      </c>
      <c r="AD172" s="34">
        <f t="shared" si="8"/>
        <v>0</v>
      </c>
      <c r="AE172" s="34">
        <f t="shared" si="9"/>
        <v>0</v>
      </c>
      <c r="AF172" s="34">
        <f t="shared" si="10"/>
        <v>0</v>
      </c>
      <c r="AG172" s="34">
        <f t="shared" si="11"/>
        <v>0</v>
      </c>
      <c r="AH172" s="34">
        <f t="shared" si="12"/>
        <v>0</v>
      </c>
      <c r="AI172" s="11" t="s">
        <v>51</v>
      </c>
      <c r="AJ172" s="34">
        <f t="shared" si="13"/>
        <v>0</v>
      </c>
      <c r="AK172" s="34">
        <f t="shared" si="14"/>
        <v>0</v>
      </c>
      <c r="AL172" s="34">
        <f t="shared" si="15"/>
        <v>0</v>
      </c>
      <c r="AN172" s="34">
        <v>21</v>
      </c>
      <c r="AO172" s="34">
        <f t="shared" si="16"/>
        <v>0</v>
      </c>
      <c r="AP172" s="34">
        <f t="shared" si="17"/>
        <v>0</v>
      </c>
      <c r="AQ172" s="35" t="s">
        <v>55</v>
      </c>
      <c r="AV172" s="34">
        <f t="shared" si="18"/>
        <v>0</v>
      </c>
      <c r="AW172" s="34">
        <f t="shared" si="19"/>
        <v>0</v>
      </c>
      <c r="AX172" s="34">
        <f t="shared" si="20"/>
        <v>0</v>
      </c>
      <c r="AY172" s="35" t="s">
        <v>305</v>
      </c>
      <c r="AZ172" s="35" t="s">
        <v>227</v>
      </c>
      <c r="BA172" s="11" t="s">
        <v>62</v>
      </c>
      <c r="BC172" s="34">
        <f t="shared" si="21"/>
        <v>0</v>
      </c>
      <c r="BD172" s="34">
        <f t="shared" si="22"/>
        <v>0</v>
      </c>
      <c r="BE172" s="34">
        <v>0</v>
      </c>
      <c r="BF172" s="34">
        <f t="shared" si="23"/>
        <v>0</v>
      </c>
      <c r="BH172" s="34">
        <f t="shared" si="24"/>
        <v>0</v>
      </c>
      <c r="BI172" s="34">
        <f t="shared" si="25"/>
        <v>0</v>
      </c>
      <c r="BJ172" s="34">
        <f t="shared" si="26"/>
        <v>0</v>
      </c>
      <c r="BK172" s="34"/>
      <c r="BL172" s="34">
        <v>59</v>
      </c>
      <c r="BW172" s="34" t="str">
        <f t="shared" si="27"/>
        <v>21</v>
      </c>
    </row>
    <row r="173" spans="1:75" ht="13.5" customHeight="1" x14ac:dyDescent="0.25">
      <c r="A173" s="2" t="s">
        <v>400</v>
      </c>
      <c r="B173" s="3" t="s">
        <v>51</v>
      </c>
      <c r="C173" s="3" t="s">
        <v>401</v>
      </c>
      <c r="D173" s="76" t="s">
        <v>402</v>
      </c>
      <c r="E173" s="77"/>
      <c r="F173" s="3" t="s">
        <v>487</v>
      </c>
      <c r="G173" s="34">
        <v>1</v>
      </c>
      <c r="H173" s="34"/>
      <c r="I173" s="35" t="s">
        <v>59</v>
      </c>
      <c r="J173" s="34">
        <f t="shared" si="0"/>
        <v>0</v>
      </c>
      <c r="K173" s="34">
        <f t="shared" si="1"/>
        <v>0</v>
      </c>
      <c r="L173" s="34">
        <f t="shared" si="2"/>
        <v>0</v>
      </c>
      <c r="M173" s="34">
        <f t="shared" si="3"/>
        <v>0</v>
      </c>
      <c r="N173" s="34">
        <v>0</v>
      </c>
      <c r="O173" s="34">
        <f t="shared" si="4"/>
        <v>0</v>
      </c>
      <c r="P173" s="36" t="s">
        <v>50</v>
      </c>
      <c r="Z173" s="34">
        <f t="shared" si="5"/>
        <v>0</v>
      </c>
      <c r="AB173" s="34">
        <f t="shared" si="6"/>
        <v>0</v>
      </c>
      <c r="AC173" s="34">
        <f t="shared" si="7"/>
        <v>0</v>
      </c>
      <c r="AD173" s="34">
        <f t="shared" si="8"/>
        <v>0</v>
      </c>
      <c r="AE173" s="34">
        <f t="shared" si="9"/>
        <v>0</v>
      </c>
      <c r="AF173" s="34">
        <f t="shared" si="10"/>
        <v>0</v>
      </c>
      <c r="AG173" s="34">
        <f t="shared" si="11"/>
        <v>0</v>
      </c>
      <c r="AH173" s="34">
        <f t="shared" si="12"/>
        <v>0</v>
      </c>
      <c r="AI173" s="11" t="s">
        <v>51</v>
      </c>
      <c r="AJ173" s="34">
        <f t="shared" si="13"/>
        <v>0</v>
      </c>
      <c r="AK173" s="34">
        <f t="shared" si="14"/>
        <v>0</v>
      </c>
      <c r="AL173" s="34">
        <f t="shared" si="15"/>
        <v>0</v>
      </c>
      <c r="AN173" s="34">
        <v>21</v>
      </c>
      <c r="AO173" s="34">
        <f t="shared" si="16"/>
        <v>0</v>
      </c>
      <c r="AP173" s="34">
        <f t="shared" si="17"/>
        <v>0</v>
      </c>
      <c r="AQ173" s="35" t="s">
        <v>55</v>
      </c>
      <c r="AV173" s="34">
        <f t="shared" si="18"/>
        <v>0</v>
      </c>
      <c r="AW173" s="34">
        <f t="shared" si="19"/>
        <v>0</v>
      </c>
      <c r="AX173" s="34">
        <f t="shared" si="20"/>
        <v>0</v>
      </c>
      <c r="AY173" s="35" t="s">
        <v>305</v>
      </c>
      <c r="AZ173" s="35" t="s">
        <v>227</v>
      </c>
      <c r="BA173" s="11" t="s">
        <v>62</v>
      </c>
      <c r="BC173" s="34">
        <f t="shared" si="21"/>
        <v>0</v>
      </c>
      <c r="BD173" s="34">
        <f t="shared" si="22"/>
        <v>0</v>
      </c>
      <c r="BE173" s="34">
        <v>0</v>
      </c>
      <c r="BF173" s="34">
        <f t="shared" si="23"/>
        <v>0</v>
      </c>
      <c r="BH173" s="34">
        <f t="shared" si="24"/>
        <v>0</v>
      </c>
      <c r="BI173" s="34">
        <f t="shared" si="25"/>
        <v>0</v>
      </c>
      <c r="BJ173" s="34">
        <f t="shared" si="26"/>
        <v>0</v>
      </c>
      <c r="BK173" s="34"/>
      <c r="BL173" s="34">
        <v>59</v>
      </c>
      <c r="BW173" s="34" t="str">
        <f t="shared" si="27"/>
        <v>21</v>
      </c>
    </row>
    <row r="174" spans="1:75" ht="13.5" customHeight="1" x14ac:dyDescent="0.25">
      <c r="A174" s="2" t="s">
        <v>403</v>
      </c>
      <c r="B174" s="3" t="s">
        <v>51</v>
      </c>
      <c r="C174" s="3" t="s">
        <v>404</v>
      </c>
      <c r="D174" s="76" t="s">
        <v>405</v>
      </c>
      <c r="E174" s="77"/>
      <c r="F174" s="3" t="s">
        <v>487</v>
      </c>
      <c r="G174" s="34">
        <v>1</v>
      </c>
      <c r="H174" s="34"/>
      <c r="I174" s="35" t="s">
        <v>59</v>
      </c>
      <c r="J174" s="34">
        <f t="shared" si="0"/>
        <v>0</v>
      </c>
      <c r="K174" s="34">
        <f t="shared" si="1"/>
        <v>0</v>
      </c>
      <c r="L174" s="34">
        <f t="shared" si="2"/>
        <v>0</v>
      </c>
      <c r="M174" s="34">
        <f t="shared" si="3"/>
        <v>0</v>
      </c>
      <c r="N174" s="34">
        <v>0</v>
      </c>
      <c r="O174" s="34">
        <f t="shared" si="4"/>
        <v>0</v>
      </c>
      <c r="P174" s="36" t="s">
        <v>50</v>
      </c>
      <c r="Z174" s="34">
        <f t="shared" si="5"/>
        <v>0</v>
      </c>
      <c r="AB174" s="34">
        <f t="shared" si="6"/>
        <v>0</v>
      </c>
      <c r="AC174" s="34">
        <f t="shared" si="7"/>
        <v>0</v>
      </c>
      <c r="AD174" s="34">
        <f t="shared" si="8"/>
        <v>0</v>
      </c>
      <c r="AE174" s="34">
        <f t="shared" si="9"/>
        <v>0</v>
      </c>
      <c r="AF174" s="34">
        <f t="shared" si="10"/>
        <v>0</v>
      </c>
      <c r="AG174" s="34">
        <f t="shared" si="11"/>
        <v>0</v>
      </c>
      <c r="AH174" s="34">
        <f t="shared" si="12"/>
        <v>0</v>
      </c>
      <c r="AI174" s="11" t="s">
        <v>51</v>
      </c>
      <c r="AJ174" s="34">
        <f t="shared" si="13"/>
        <v>0</v>
      </c>
      <c r="AK174" s="34">
        <f t="shared" si="14"/>
        <v>0</v>
      </c>
      <c r="AL174" s="34">
        <f t="shared" si="15"/>
        <v>0</v>
      </c>
      <c r="AN174" s="34">
        <v>21</v>
      </c>
      <c r="AO174" s="34">
        <f t="shared" si="16"/>
        <v>0</v>
      </c>
      <c r="AP174" s="34">
        <f t="shared" si="17"/>
        <v>0</v>
      </c>
      <c r="AQ174" s="35" t="s">
        <v>55</v>
      </c>
      <c r="AV174" s="34">
        <f t="shared" si="18"/>
        <v>0</v>
      </c>
      <c r="AW174" s="34">
        <f t="shared" si="19"/>
        <v>0</v>
      </c>
      <c r="AX174" s="34">
        <f t="shared" si="20"/>
        <v>0</v>
      </c>
      <c r="AY174" s="35" t="s">
        <v>305</v>
      </c>
      <c r="AZ174" s="35" t="s">
        <v>227</v>
      </c>
      <c r="BA174" s="11" t="s">
        <v>62</v>
      </c>
      <c r="BC174" s="34">
        <f t="shared" si="21"/>
        <v>0</v>
      </c>
      <c r="BD174" s="34">
        <f t="shared" si="22"/>
        <v>0</v>
      </c>
      <c r="BE174" s="34">
        <v>0</v>
      </c>
      <c r="BF174" s="34">
        <f t="shared" si="23"/>
        <v>0</v>
      </c>
      <c r="BH174" s="34">
        <f t="shared" si="24"/>
        <v>0</v>
      </c>
      <c r="BI174" s="34">
        <f t="shared" si="25"/>
        <v>0</v>
      </c>
      <c r="BJ174" s="34">
        <f t="shared" si="26"/>
        <v>0</v>
      </c>
      <c r="BK174" s="34"/>
      <c r="BL174" s="34">
        <v>59</v>
      </c>
      <c r="BW174" s="34" t="str">
        <f t="shared" si="27"/>
        <v>21</v>
      </c>
    </row>
    <row r="175" spans="1:75" ht="13.5" customHeight="1" x14ac:dyDescent="0.25">
      <c r="A175" s="2" t="s">
        <v>406</v>
      </c>
      <c r="B175" s="3" t="s">
        <v>51</v>
      </c>
      <c r="C175" s="3" t="s">
        <v>407</v>
      </c>
      <c r="D175" s="76" t="s">
        <v>408</v>
      </c>
      <c r="E175" s="77"/>
      <c r="F175" s="3" t="s">
        <v>487</v>
      </c>
      <c r="G175" s="34">
        <v>1</v>
      </c>
      <c r="H175" s="34"/>
      <c r="I175" s="35" t="s">
        <v>59</v>
      </c>
      <c r="J175" s="34">
        <f t="shared" si="0"/>
        <v>0</v>
      </c>
      <c r="K175" s="34">
        <f t="shared" si="1"/>
        <v>0</v>
      </c>
      <c r="L175" s="34">
        <f t="shared" si="2"/>
        <v>0</v>
      </c>
      <c r="M175" s="34">
        <f t="shared" si="3"/>
        <v>0</v>
      </c>
      <c r="N175" s="34">
        <v>0</v>
      </c>
      <c r="O175" s="34">
        <f t="shared" si="4"/>
        <v>0</v>
      </c>
      <c r="P175" s="36" t="s">
        <v>50</v>
      </c>
      <c r="Z175" s="34">
        <f t="shared" si="5"/>
        <v>0</v>
      </c>
      <c r="AB175" s="34">
        <f t="shared" si="6"/>
        <v>0</v>
      </c>
      <c r="AC175" s="34">
        <f t="shared" si="7"/>
        <v>0</v>
      </c>
      <c r="AD175" s="34">
        <f t="shared" si="8"/>
        <v>0</v>
      </c>
      <c r="AE175" s="34">
        <f t="shared" si="9"/>
        <v>0</v>
      </c>
      <c r="AF175" s="34">
        <f t="shared" si="10"/>
        <v>0</v>
      </c>
      <c r="AG175" s="34">
        <f t="shared" si="11"/>
        <v>0</v>
      </c>
      <c r="AH175" s="34">
        <f t="shared" si="12"/>
        <v>0</v>
      </c>
      <c r="AI175" s="11" t="s">
        <v>51</v>
      </c>
      <c r="AJ175" s="34">
        <f t="shared" si="13"/>
        <v>0</v>
      </c>
      <c r="AK175" s="34">
        <f t="shared" si="14"/>
        <v>0</v>
      </c>
      <c r="AL175" s="34">
        <f t="shared" si="15"/>
        <v>0</v>
      </c>
      <c r="AN175" s="34">
        <v>21</v>
      </c>
      <c r="AO175" s="34">
        <f t="shared" si="16"/>
        <v>0</v>
      </c>
      <c r="AP175" s="34">
        <f t="shared" si="17"/>
        <v>0</v>
      </c>
      <c r="AQ175" s="35" t="s">
        <v>55</v>
      </c>
      <c r="AV175" s="34">
        <f t="shared" si="18"/>
        <v>0</v>
      </c>
      <c r="AW175" s="34">
        <f t="shared" si="19"/>
        <v>0</v>
      </c>
      <c r="AX175" s="34">
        <f t="shared" si="20"/>
        <v>0</v>
      </c>
      <c r="AY175" s="35" t="s">
        <v>305</v>
      </c>
      <c r="AZ175" s="35" t="s">
        <v>227</v>
      </c>
      <c r="BA175" s="11" t="s">
        <v>62</v>
      </c>
      <c r="BC175" s="34">
        <f t="shared" si="21"/>
        <v>0</v>
      </c>
      <c r="BD175" s="34">
        <f t="shared" si="22"/>
        <v>0</v>
      </c>
      <c r="BE175" s="34">
        <v>0</v>
      </c>
      <c r="BF175" s="34">
        <f t="shared" si="23"/>
        <v>0</v>
      </c>
      <c r="BH175" s="34">
        <f t="shared" si="24"/>
        <v>0</v>
      </c>
      <c r="BI175" s="34">
        <f t="shared" si="25"/>
        <v>0</v>
      </c>
      <c r="BJ175" s="34">
        <f t="shared" si="26"/>
        <v>0</v>
      </c>
      <c r="BK175" s="34"/>
      <c r="BL175" s="34">
        <v>59</v>
      </c>
      <c r="BW175" s="34" t="str">
        <f t="shared" si="27"/>
        <v>21</v>
      </c>
    </row>
    <row r="176" spans="1:75" ht="13.5" customHeight="1" x14ac:dyDescent="0.25">
      <c r="A176" s="2" t="s">
        <v>409</v>
      </c>
      <c r="B176" s="3" t="s">
        <v>51</v>
      </c>
      <c r="C176" s="3" t="s">
        <v>410</v>
      </c>
      <c r="D176" s="76" t="s">
        <v>411</v>
      </c>
      <c r="E176" s="77"/>
      <c r="F176" s="3" t="s">
        <v>487</v>
      </c>
      <c r="G176" s="34">
        <v>1</v>
      </c>
      <c r="H176" s="34"/>
      <c r="I176" s="35" t="s">
        <v>59</v>
      </c>
      <c r="J176" s="34">
        <f t="shared" si="0"/>
        <v>0</v>
      </c>
      <c r="K176" s="34">
        <f t="shared" si="1"/>
        <v>0</v>
      </c>
      <c r="L176" s="34">
        <f t="shared" si="2"/>
        <v>0</v>
      </c>
      <c r="M176" s="34">
        <f t="shared" si="3"/>
        <v>0</v>
      </c>
      <c r="N176" s="34">
        <v>0</v>
      </c>
      <c r="O176" s="34">
        <f t="shared" si="4"/>
        <v>0</v>
      </c>
      <c r="P176" s="36" t="s">
        <v>50</v>
      </c>
      <c r="Z176" s="34">
        <f t="shared" si="5"/>
        <v>0</v>
      </c>
      <c r="AB176" s="34">
        <f t="shared" si="6"/>
        <v>0</v>
      </c>
      <c r="AC176" s="34">
        <f t="shared" si="7"/>
        <v>0</v>
      </c>
      <c r="AD176" s="34">
        <f t="shared" si="8"/>
        <v>0</v>
      </c>
      <c r="AE176" s="34">
        <f t="shared" si="9"/>
        <v>0</v>
      </c>
      <c r="AF176" s="34">
        <f t="shared" si="10"/>
        <v>0</v>
      </c>
      <c r="AG176" s="34">
        <f t="shared" si="11"/>
        <v>0</v>
      </c>
      <c r="AH176" s="34">
        <f t="shared" si="12"/>
        <v>0</v>
      </c>
      <c r="AI176" s="11" t="s">
        <v>51</v>
      </c>
      <c r="AJ176" s="34">
        <f t="shared" si="13"/>
        <v>0</v>
      </c>
      <c r="AK176" s="34">
        <f t="shared" si="14"/>
        <v>0</v>
      </c>
      <c r="AL176" s="34">
        <f t="shared" si="15"/>
        <v>0</v>
      </c>
      <c r="AN176" s="34">
        <v>21</v>
      </c>
      <c r="AO176" s="34">
        <f t="shared" si="16"/>
        <v>0</v>
      </c>
      <c r="AP176" s="34">
        <f t="shared" si="17"/>
        <v>0</v>
      </c>
      <c r="AQ176" s="35" t="s">
        <v>55</v>
      </c>
      <c r="AV176" s="34">
        <f t="shared" si="18"/>
        <v>0</v>
      </c>
      <c r="AW176" s="34">
        <f t="shared" si="19"/>
        <v>0</v>
      </c>
      <c r="AX176" s="34">
        <f t="shared" si="20"/>
        <v>0</v>
      </c>
      <c r="AY176" s="35" t="s">
        <v>305</v>
      </c>
      <c r="AZ176" s="35" t="s">
        <v>227</v>
      </c>
      <c r="BA176" s="11" t="s">
        <v>62</v>
      </c>
      <c r="BC176" s="34">
        <f t="shared" si="21"/>
        <v>0</v>
      </c>
      <c r="BD176" s="34">
        <f t="shared" si="22"/>
        <v>0</v>
      </c>
      <c r="BE176" s="34">
        <v>0</v>
      </c>
      <c r="BF176" s="34">
        <f t="shared" si="23"/>
        <v>0</v>
      </c>
      <c r="BH176" s="34">
        <f t="shared" si="24"/>
        <v>0</v>
      </c>
      <c r="BI176" s="34">
        <f t="shared" si="25"/>
        <v>0</v>
      </c>
      <c r="BJ176" s="34">
        <f t="shared" si="26"/>
        <v>0</v>
      </c>
      <c r="BK176" s="34"/>
      <c r="BL176" s="34">
        <v>59</v>
      </c>
      <c r="BW176" s="34" t="str">
        <f t="shared" si="27"/>
        <v>21</v>
      </c>
    </row>
    <row r="177" spans="1:75" ht="13.5" customHeight="1" x14ac:dyDescent="0.25">
      <c r="A177" s="2" t="s">
        <v>412</v>
      </c>
      <c r="B177" s="3" t="s">
        <v>51</v>
      </c>
      <c r="C177" s="3" t="s">
        <v>413</v>
      </c>
      <c r="D177" s="76" t="s">
        <v>414</v>
      </c>
      <c r="E177" s="77"/>
      <c r="F177" s="3" t="s">
        <v>487</v>
      </c>
      <c r="G177" s="34">
        <v>1</v>
      </c>
      <c r="H177" s="34"/>
      <c r="I177" s="35" t="s">
        <v>59</v>
      </c>
      <c r="J177" s="34">
        <f t="shared" si="0"/>
        <v>0</v>
      </c>
      <c r="K177" s="34">
        <f t="shared" si="1"/>
        <v>0</v>
      </c>
      <c r="L177" s="34">
        <f t="shared" si="2"/>
        <v>0</v>
      </c>
      <c r="M177" s="34">
        <f t="shared" si="3"/>
        <v>0</v>
      </c>
      <c r="N177" s="34">
        <v>0</v>
      </c>
      <c r="O177" s="34">
        <f t="shared" si="4"/>
        <v>0</v>
      </c>
      <c r="P177" s="36" t="s">
        <v>50</v>
      </c>
      <c r="Z177" s="34">
        <f t="shared" si="5"/>
        <v>0</v>
      </c>
      <c r="AB177" s="34">
        <f t="shared" si="6"/>
        <v>0</v>
      </c>
      <c r="AC177" s="34">
        <f t="shared" si="7"/>
        <v>0</v>
      </c>
      <c r="AD177" s="34">
        <f t="shared" si="8"/>
        <v>0</v>
      </c>
      <c r="AE177" s="34">
        <f t="shared" si="9"/>
        <v>0</v>
      </c>
      <c r="AF177" s="34">
        <f t="shared" si="10"/>
        <v>0</v>
      </c>
      <c r="AG177" s="34">
        <f t="shared" si="11"/>
        <v>0</v>
      </c>
      <c r="AH177" s="34">
        <f t="shared" si="12"/>
        <v>0</v>
      </c>
      <c r="AI177" s="11" t="s">
        <v>51</v>
      </c>
      <c r="AJ177" s="34">
        <f t="shared" si="13"/>
        <v>0</v>
      </c>
      <c r="AK177" s="34">
        <f t="shared" si="14"/>
        <v>0</v>
      </c>
      <c r="AL177" s="34">
        <f t="shared" si="15"/>
        <v>0</v>
      </c>
      <c r="AN177" s="34">
        <v>21</v>
      </c>
      <c r="AO177" s="34">
        <f t="shared" si="16"/>
        <v>0</v>
      </c>
      <c r="AP177" s="34">
        <f t="shared" si="17"/>
        <v>0</v>
      </c>
      <c r="AQ177" s="35" t="s">
        <v>55</v>
      </c>
      <c r="AV177" s="34">
        <f t="shared" si="18"/>
        <v>0</v>
      </c>
      <c r="AW177" s="34">
        <f t="shared" si="19"/>
        <v>0</v>
      </c>
      <c r="AX177" s="34">
        <f t="shared" si="20"/>
        <v>0</v>
      </c>
      <c r="AY177" s="35" t="s">
        <v>305</v>
      </c>
      <c r="AZ177" s="35" t="s">
        <v>227</v>
      </c>
      <c r="BA177" s="11" t="s">
        <v>62</v>
      </c>
      <c r="BC177" s="34">
        <f t="shared" si="21"/>
        <v>0</v>
      </c>
      <c r="BD177" s="34">
        <f t="shared" si="22"/>
        <v>0</v>
      </c>
      <c r="BE177" s="34">
        <v>0</v>
      </c>
      <c r="BF177" s="34">
        <f t="shared" si="23"/>
        <v>0</v>
      </c>
      <c r="BH177" s="34">
        <f t="shared" si="24"/>
        <v>0</v>
      </c>
      <c r="BI177" s="34">
        <f t="shared" si="25"/>
        <v>0</v>
      </c>
      <c r="BJ177" s="34">
        <f t="shared" si="26"/>
        <v>0</v>
      </c>
      <c r="BK177" s="34"/>
      <c r="BL177" s="34">
        <v>59</v>
      </c>
      <c r="BW177" s="34" t="str">
        <f t="shared" si="27"/>
        <v>21</v>
      </c>
    </row>
    <row r="178" spans="1:75" ht="13.5" customHeight="1" x14ac:dyDescent="0.25">
      <c r="A178" s="2" t="s">
        <v>415</v>
      </c>
      <c r="B178" s="3" t="s">
        <v>51</v>
      </c>
      <c r="C178" s="3" t="s">
        <v>416</v>
      </c>
      <c r="D178" s="76" t="s">
        <v>375</v>
      </c>
      <c r="E178" s="77"/>
      <c r="F178" s="3" t="s">
        <v>487</v>
      </c>
      <c r="G178" s="34">
        <v>1</v>
      </c>
      <c r="H178" s="34"/>
      <c r="I178" s="35" t="s">
        <v>59</v>
      </c>
      <c r="J178" s="34">
        <f t="shared" si="0"/>
        <v>0</v>
      </c>
      <c r="K178" s="34">
        <f t="shared" si="1"/>
        <v>0</v>
      </c>
      <c r="L178" s="34">
        <f t="shared" si="2"/>
        <v>0</v>
      </c>
      <c r="M178" s="34">
        <f t="shared" si="3"/>
        <v>0</v>
      </c>
      <c r="N178" s="34">
        <v>0</v>
      </c>
      <c r="O178" s="34">
        <f t="shared" si="4"/>
        <v>0</v>
      </c>
      <c r="P178" s="36" t="s">
        <v>50</v>
      </c>
      <c r="Z178" s="34">
        <f t="shared" si="5"/>
        <v>0</v>
      </c>
      <c r="AB178" s="34">
        <f t="shared" si="6"/>
        <v>0</v>
      </c>
      <c r="AC178" s="34">
        <f t="shared" si="7"/>
        <v>0</v>
      </c>
      <c r="AD178" s="34">
        <f t="shared" si="8"/>
        <v>0</v>
      </c>
      <c r="AE178" s="34">
        <f t="shared" si="9"/>
        <v>0</v>
      </c>
      <c r="AF178" s="34">
        <f t="shared" si="10"/>
        <v>0</v>
      </c>
      <c r="AG178" s="34">
        <f t="shared" si="11"/>
        <v>0</v>
      </c>
      <c r="AH178" s="34">
        <f t="shared" si="12"/>
        <v>0</v>
      </c>
      <c r="AI178" s="11" t="s">
        <v>51</v>
      </c>
      <c r="AJ178" s="34">
        <f t="shared" si="13"/>
        <v>0</v>
      </c>
      <c r="AK178" s="34">
        <f t="shared" si="14"/>
        <v>0</v>
      </c>
      <c r="AL178" s="34">
        <f t="shared" si="15"/>
        <v>0</v>
      </c>
      <c r="AN178" s="34">
        <v>21</v>
      </c>
      <c r="AO178" s="34">
        <f t="shared" si="16"/>
        <v>0</v>
      </c>
      <c r="AP178" s="34">
        <f t="shared" si="17"/>
        <v>0</v>
      </c>
      <c r="AQ178" s="35" t="s">
        <v>55</v>
      </c>
      <c r="AV178" s="34">
        <f t="shared" si="18"/>
        <v>0</v>
      </c>
      <c r="AW178" s="34">
        <f t="shared" si="19"/>
        <v>0</v>
      </c>
      <c r="AX178" s="34">
        <f t="shared" si="20"/>
        <v>0</v>
      </c>
      <c r="AY178" s="35" t="s">
        <v>305</v>
      </c>
      <c r="AZ178" s="35" t="s">
        <v>227</v>
      </c>
      <c r="BA178" s="11" t="s">
        <v>62</v>
      </c>
      <c r="BC178" s="34">
        <f t="shared" si="21"/>
        <v>0</v>
      </c>
      <c r="BD178" s="34">
        <f t="shared" si="22"/>
        <v>0</v>
      </c>
      <c r="BE178" s="34">
        <v>0</v>
      </c>
      <c r="BF178" s="34">
        <f t="shared" si="23"/>
        <v>0</v>
      </c>
      <c r="BH178" s="34">
        <f t="shared" si="24"/>
        <v>0</v>
      </c>
      <c r="BI178" s="34">
        <f t="shared" si="25"/>
        <v>0</v>
      </c>
      <c r="BJ178" s="34">
        <f t="shared" si="26"/>
        <v>0</v>
      </c>
      <c r="BK178" s="34"/>
      <c r="BL178" s="34">
        <v>59</v>
      </c>
      <c r="BW178" s="34" t="str">
        <f t="shared" si="27"/>
        <v>21</v>
      </c>
    </row>
    <row r="179" spans="1:75" ht="13.5" customHeight="1" x14ac:dyDescent="0.25">
      <c r="A179" s="2" t="s">
        <v>417</v>
      </c>
      <c r="B179" s="3" t="s">
        <v>51</v>
      </c>
      <c r="C179" s="3" t="s">
        <v>418</v>
      </c>
      <c r="D179" s="76" t="s">
        <v>419</v>
      </c>
      <c r="E179" s="77"/>
      <c r="F179" s="3" t="s">
        <v>487</v>
      </c>
      <c r="G179" s="34">
        <v>1</v>
      </c>
      <c r="H179" s="34"/>
      <c r="I179" s="35" t="s">
        <v>59</v>
      </c>
      <c r="J179" s="34">
        <f t="shared" si="0"/>
        <v>0</v>
      </c>
      <c r="K179" s="34">
        <f t="shared" si="1"/>
        <v>0</v>
      </c>
      <c r="L179" s="34">
        <f t="shared" si="2"/>
        <v>0</v>
      </c>
      <c r="M179" s="34">
        <f t="shared" si="3"/>
        <v>0</v>
      </c>
      <c r="N179" s="34">
        <v>0</v>
      </c>
      <c r="O179" s="34">
        <f t="shared" si="4"/>
        <v>0</v>
      </c>
      <c r="P179" s="36" t="s">
        <v>50</v>
      </c>
      <c r="Z179" s="34">
        <f t="shared" si="5"/>
        <v>0</v>
      </c>
      <c r="AB179" s="34">
        <f t="shared" si="6"/>
        <v>0</v>
      </c>
      <c r="AC179" s="34">
        <f t="shared" si="7"/>
        <v>0</v>
      </c>
      <c r="AD179" s="34">
        <f t="shared" si="8"/>
        <v>0</v>
      </c>
      <c r="AE179" s="34">
        <f t="shared" si="9"/>
        <v>0</v>
      </c>
      <c r="AF179" s="34">
        <f t="shared" si="10"/>
        <v>0</v>
      </c>
      <c r="AG179" s="34">
        <f t="shared" si="11"/>
        <v>0</v>
      </c>
      <c r="AH179" s="34">
        <f t="shared" si="12"/>
        <v>0</v>
      </c>
      <c r="AI179" s="11" t="s">
        <v>51</v>
      </c>
      <c r="AJ179" s="34">
        <f t="shared" si="13"/>
        <v>0</v>
      </c>
      <c r="AK179" s="34">
        <f t="shared" si="14"/>
        <v>0</v>
      </c>
      <c r="AL179" s="34">
        <f t="shared" si="15"/>
        <v>0</v>
      </c>
      <c r="AN179" s="34">
        <v>21</v>
      </c>
      <c r="AO179" s="34">
        <f t="shared" si="16"/>
        <v>0</v>
      </c>
      <c r="AP179" s="34">
        <f t="shared" si="17"/>
        <v>0</v>
      </c>
      <c r="AQ179" s="35" t="s">
        <v>55</v>
      </c>
      <c r="AV179" s="34">
        <f t="shared" si="18"/>
        <v>0</v>
      </c>
      <c r="AW179" s="34">
        <f t="shared" si="19"/>
        <v>0</v>
      </c>
      <c r="AX179" s="34">
        <f t="shared" si="20"/>
        <v>0</v>
      </c>
      <c r="AY179" s="35" t="s">
        <v>305</v>
      </c>
      <c r="AZ179" s="35" t="s">
        <v>227</v>
      </c>
      <c r="BA179" s="11" t="s">
        <v>62</v>
      </c>
      <c r="BC179" s="34">
        <f t="shared" si="21"/>
        <v>0</v>
      </c>
      <c r="BD179" s="34">
        <f t="shared" si="22"/>
        <v>0</v>
      </c>
      <c r="BE179" s="34">
        <v>0</v>
      </c>
      <c r="BF179" s="34">
        <f t="shared" si="23"/>
        <v>0</v>
      </c>
      <c r="BH179" s="34">
        <f t="shared" si="24"/>
        <v>0</v>
      </c>
      <c r="BI179" s="34">
        <f t="shared" si="25"/>
        <v>0</v>
      </c>
      <c r="BJ179" s="34">
        <f t="shared" si="26"/>
        <v>0</v>
      </c>
      <c r="BK179" s="34"/>
      <c r="BL179" s="34">
        <v>59</v>
      </c>
      <c r="BW179" s="34" t="str">
        <f t="shared" si="27"/>
        <v>21</v>
      </c>
    </row>
    <row r="180" spans="1:75" ht="13.5" customHeight="1" x14ac:dyDescent="0.25">
      <c r="A180" s="2" t="s">
        <v>420</v>
      </c>
      <c r="B180" s="3" t="s">
        <v>51</v>
      </c>
      <c r="C180" s="3" t="s">
        <v>421</v>
      </c>
      <c r="D180" s="76" t="s">
        <v>422</v>
      </c>
      <c r="E180" s="77"/>
      <c r="F180" s="3" t="s">
        <v>487</v>
      </c>
      <c r="G180" s="34">
        <v>1</v>
      </c>
      <c r="H180" s="34"/>
      <c r="I180" s="35" t="s">
        <v>59</v>
      </c>
      <c r="J180" s="34">
        <f t="shared" si="0"/>
        <v>0</v>
      </c>
      <c r="K180" s="34">
        <f t="shared" si="1"/>
        <v>0</v>
      </c>
      <c r="L180" s="34">
        <f t="shared" si="2"/>
        <v>0</v>
      </c>
      <c r="M180" s="34">
        <f t="shared" si="3"/>
        <v>0</v>
      </c>
      <c r="N180" s="34">
        <v>0</v>
      </c>
      <c r="O180" s="34">
        <f t="shared" si="4"/>
        <v>0</v>
      </c>
      <c r="P180" s="36" t="s">
        <v>50</v>
      </c>
      <c r="Z180" s="34">
        <f t="shared" si="5"/>
        <v>0</v>
      </c>
      <c r="AB180" s="34">
        <f t="shared" si="6"/>
        <v>0</v>
      </c>
      <c r="AC180" s="34">
        <f t="shared" si="7"/>
        <v>0</v>
      </c>
      <c r="AD180" s="34">
        <f t="shared" si="8"/>
        <v>0</v>
      </c>
      <c r="AE180" s="34">
        <f t="shared" si="9"/>
        <v>0</v>
      </c>
      <c r="AF180" s="34">
        <f t="shared" si="10"/>
        <v>0</v>
      </c>
      <c r="AG180" s="34">
        <f t="shared" si="11"/>
        <v>0</v>
      </c>
      <c r="AH180" s="34">
        <f t="shared" si="12"/>
        <v>0</v>
      </c>
      <c r="AI180" s="11" t="s">
        <v>51</v>
      </c>
      <c r="AJ180" s="34">
        <f t="shared" si="13"/>
        <v>0</v>
      </c>
      <c r="AK180" s="34">
        <f t="shared" si="14"/>
        <v>0</v>
      </c>
      <c r="AL180" s="34">
        <f t="shared" si="15"/>
        <v>0</v>
      </c>
      <c r="AN180" s="34">
        <v>21</v>
      </c>
      <c r="AO180" s="34">
        <f t="shared" si="16"/>
        <v>0</v>
      </c>
      <c r="AP180" s="34">
        <f t="shared" si="17"/>
        <v>0</v>
      </c>
      <c r="AQ180" s="35" t="s">
        <v>55</v>
      </c>
      <c r="AV180" s="34">
        <f t="shared" si="18"/>
        <v>0</v>
      </c>
      <c r="AW180" s="34">
        <f t="shared" si="19"/>
        <v>0</v>
      </c>
      <c r="AX180" s="34">
        <f t="shared" si="20"/>
        <v>0</v>
      </c>
      <c r="AY180" s="35" t="s">
        <v>305</v>
      </c>
      <c r="AZ180" s="35" t="s">
        <v>227</v>
      </c>
      <c r="BA180" s="11" t="s">
        <v>62</v>
      </c>
      <c r="BC180" s="34">
        <f t="shared" si="21"/>
        <v>0</v>
      </c>
      <c r="BD180" s="34">
        <f t="shared" si="22"/>
        <v>0</v>
      </c>
      <c r="BE180" s="34">
        <v>0</v>
      </c>
      <c r="BF180" s="34">
        <f t="shared" si="23"/>
        <v>0</v>
      </c>
      <c r="BH180" s="34">
        <f t="shared" si="24"/>
        <v>0</v>
      </c>
      <c r="BI180" s="34">
        <f t="shared" si="25"/>
        <v>0</v>
      </c>
      <c r="BJ180" s="34">
        <f t="shared" si="26"/>
        <v>0</v>
      </c>
      <c r="BK180" s="34"/>
      <c r="BL180" s="34">
        <v>59</v>
      </c>
      <c r="BW180" s="34" t="str">
        <f t="shared" si="27"/>
        <v>21</v>
      </c>
    </row>
    <row r="181" spans="1:75" ht="13.5" customHeight="1" x14ac:dyDescent="0.25">
      <c r="A181" s="2" t="s">
        <v>423</v>
      </c>
      <c r="B181" s="3" t="s">
        <v>51</v>
      </c>
      <c r="C181" s="3" t="s">
        <v>424</v>
      </c>
      <c r="D181" s="76" t="s">
        <v>425</v>
      </c>
      <c r="E181" s="77"/>
      <c r="F181" s="3" t="s">
        <v>487</v>
      </c>
      <c r="G181" s="34">
        <v>1</v>
      </c>
      <c r="H181" s="34"/>
      <c r="I181" s="35" t="s">
        <v>59</v>
      </c>
      <c r="J181" s="34">
        <f t="shared" si="0"/>
        <v>0</v>
      </c>
      <c r="K181" s="34">
        <f t="shared" si="1"/>
        <v>0</v>
      </c>
      <c r="L181" s="34">
        <f t="shared" si="2"/>
        <v>0</v>
      </c>
      <c r="M181" s="34">
        <f t="shared" si="3"/>
        <v>0</v>
      </c>
      <c r="N181" s="34">
        <v>0</v>
      </c>
      <c r="O181" s="34">
        <f t="shared" si="4"/>
        <v>0</v>
      </c>
      <c r="P181" s="36" t="s">
        <v>50</v>
      </c>
      <c r="Z181" s="34">
        <f t="shared" si="5"/>
        <v>0</v>
      </c>
      <c r="AB181" s="34">
        <f t="shared" si="6"/>
        <v>0</v>
      </c>
      <c r="AC181" s="34">
        <f t="shared" si="7"/>
        <v>0</v>
      </c>
      <c r="AD181" s="34">
        <f t="shared" si="8"/>
        <v>0</v>
      </c>
      <c r="AE181" s="34">
        <f t="shared" si="9"/>
        <v>0</v>
      </c>
      <c r="AF181" s="34">
        <f t="shared" si="10"/>
        <v>0</v>
      </c>
      <c r="AG181" s="34">
        <f t="shared" si="11"/>
        <v>0</v>
      </c>
      <c r="AH181" s="34">
        <f t="shared" si="12"/>
        <v>0</v>
      </c>
      <c r="AI181" s="11" t="s">
        <v>51</v>
      </c>
      <c r="AJ181" s="34">
        <f t="shared" si="13"/>
        <v>0</v>
      </c>
      <c r="AK181" s="34">
        <f t="shared" si="14"/>
        <v>0</v>
      </c>
      <c r="AL181" s="34">
        <f t="shared" si="15"/>
        <v>0</v>
      </c>
      <c r="AN181" s="34">
        <v>21</v>
      </c>
      <c r="AO181" s="34">
        <f t="shared" si="16"/>
        <v>0</v>
      </c>
      <c r="AP181" s="34">
        <f t="shared" si="17"/>
        <v>0</v>
      </c>
      <c r="AQ181" s="35" t="s">
        <v>55</v>
      </c>
      <c r="AV181" s="34">
        <f t="shared" si="18"/>
        <v>0</v>
      </c>
      <c r="AW181" s="34">
        <f t="shared" si="19"/>
        <v>0</v>
      </c>
      <c r="AX181" s="34">
        <f t="shared" si="20"/>
        <v>0</v>
      </c>
      <c r="AY181" s="35" t="s">
        <v>305</v>
      </c>
      <c r="AZ181" s="35" t="s">
        <v>227</v>
      </c>
      <c r="BA181" s="11" t="s">
        <v>62</v>
      </c>
      <c r="BC181" s="34">
        <f t="shared" si="21"/>
        <v>0</v>
      </c>
      <c r="BD181" s="34">
        <f t="shared" si="22"/>
        <v>0</v>
      </c>
      <c r="BE181" s="34">
        <v>0</v>
      </c>
      <c r="BF181" s="34">
        <f t="shared" si="23"/>
        <v>0</v>
      </c>
      <c r="BH181" s="34">
        <f t="shared" si="24"/>
        <v>0</v>
      </c>
      <c r="BI181" s="34">
        <f t="shared" si="25"/>
        <v>0</v>
      </c>
      <c r="BJ181" s="34">
        <f t="shared" si="26"/>
        <v>0</v>
      </c>
      <c r="BK181" s="34"/>
      <c r="BL181" s="34">
        <v>59</v>
      </c>
      <c r="BW181" s="34" t="str">
        <f t="shared" si="27"/>
        <v>21</v>
      </c>
    </row>
    <row r="182" spans="1:75" ht="13.5" customHeight="1" x14ac:dyDescent="0.25">
      <c r="A182" s="2" t="s">
        <v>426</v>
      </c>
      <c r="B182" s="3" t="s">
        <v>51</v>
      </c>
      <c r="C182" s="3" t="s">
        <v>427</v>
      </c>
      <c r="D182" s="76" t="s">
        <v>428</v>
      </c>
      <c r="E182" s="77"/>
      <c r="F182" s="3" t="s">
        <v>487</v>
      </c>
      <c r="G182" s="34">
        <v>1</v>
      </c>
      <c r="H182" s="34"/>
      <c r="I182" s="35" t="s">
        <v>59</v>
      </c>
      <c r="J182" s="34">
        <f t="shared" si="0"/>
        <v>0</v>
      </c>
      <c r="K182" s="34">
        <f t="shared" si="1"/>
        <v>0</v>
      </c>
      <c r="L182" s="34">
        <f t="shared" si="2"/>
        <v>0</v>
      </c>
      <c r="M182" s="34">
        <f t="shared" si="3"/>
        <v>0</v>
      </c>
      <c r="N182" s="34">
        <v>0</v>
      </c>
      <c r="O182" s="34">
        <f t="shared" si="4"/>
        <v>0</v>
      </c>
      <c r="P182" s="36" t="s">
        <v>50</v>
      </c>
      <c r="Z182" s="34">
        <f t="shared" si="5"/>
        <v>0</v>
      </c>
      <c r="AB182" s="34">
        <f t="shared" si="6"/>
        <v>0</v>
      </c>
      <c r="AC182" s="34">
        <f t="shared" si="7"/>
        <v>0</v>
      </c>
      <c r="AD182" s="34">
        <f t="shared" si="8"/>
        <v>0</v>
      </c>
      <c r="AE182" s="34">
        <f t="shared" si="9"/>
        <v>0</v>
      </c>
      <c r="AF182" s="34">
        <f t="shared" si="10"/>
        <v>0</v>
      </c>
      <c r="AG182" s="34">
        <f t="shared" si="11"/>
        <v>0</v>
      </c>
      <c r="AH182" s="34">
        <f t="shared" si="12"/>
        <v>0</v>
      </c>
      <c r="AI182" s="11" t="s">
        <v>51</v>
      </c>
      <c r="AJ182" s="34">
        <f t="shared" si="13"/>
        <v>0</v>
      </c>
      <c r="AK182" s="34">
        <f t="shared" si="14"/>
        <v>0</v>
      </c>
      <c r="AL182" s="34">
        <f t="shared" si="15"/>
        <v>0</v>
      </c>
      <c r="AN182" s="34">
        <v>21</v>
      </c>
      <c r="AO182" s="34">
        <f t="shared" si="16"/>
        <v>0</v>
      </c>
      <c r="AP182" s="34">
        <f t="shared" si="17"/>
        <v>0</v>
      </c>
      <c r="AQ182" s="35" t="s">
        <v>55</v>
      </c>
      <c r="AV182" s="34">
        <f t="shared" si="18"/>
        <v>0</v>
      </c>
      <c r="AW182" s="34">
        <f t="shared" si="19"/>
        <v>0</v>
      </c>
      <c r="AX182" s="34">
        <f t="shared" si="20"/>
        <v>0</v>
      </c>
      <c r="AY182" s="35" t="s">
        <v>305</v>
      </c>
      <c r="AZ182" s="35" t="s">
        <v>227</v>
      </c>
      <c r="BA182" s="11" t="s">
        <v>62</v>
      </c>
      <c r="BC182" s="34">
        <f t="shared" si="21"/>
        <v>0</v>
      </c>
      <c r="BD182" s="34">
        <f t="shared" si="22"/>
        <v>0</v>
      </c>
      <c r="BE182" s="34">
        <v>0</v>
      </c>
      <c r="BF182" s="34">
        <f t="shared" si="23"/>
        <v>0</v>
      </c>
      <c r="BH182" s="34">
        <f t="shared" si="24"/>
        <v>0</v>
      </c>
      <c r="BI182" s="34">
        <f t="shared" si="25"/>
        <v>0</v>
      </c>
      <c r="BJ182" s="34">
        <f t="shared" si="26"/>
        <v>0</v>
      </c>
      <c r="BK182" s="34"/>
      <c r="BL182" s="34">
        <v>59</v>
      </c>
      <c r="BW182" s="34" t="str">
        <f t="shared" si="27"/>
        <v>21</v>
      </c>
    </row>
    <row r="183" spans="1:75" ht="13.5" customHeight="1" x14ac:dyDescent="0.25">
      <c r="A183" s="2" t="s">
        <v>429</v>
      </c>
      <c r="B183" s="3" t="s">
        <v>51</v>
      </c>
      <c r="C183" s="3" t="s">
        <v>430</v>
      </c>
      <c r="D183" s="76" t="s">
        <v>431</v>
      </c>
      <c r="E183" s="77"/>
      <c r="F183" s="3" t="s">
        <v>487</v>
      </c>
      <c r="G183" s="34">
        <v>1</v>
      </c>
      <c r="H183" s="34"/>
      <c r="I183" s="35" t="s">
        <v>59</v>
      </c>
      <c r="J183" s="34">
        <f t="shared" ref="J183:J206" si="28">G183*AO183</f>
        <v>0</v>
      </c>
      <c r="K183" s="34">
        <f t="shared" ref="K183:K206" si="29">G183*AP183</f>
        <v>0</v>
      </c>
      <c r="L183" s="34">
        <f t="shared" ref="L183:L206" si="30">G183*H183</f>
        <v>0</v>
      </c>
      <c r="M183" s="34">
        <f t="shared" ref="M183:M206" si="31">L183*(1+BW183/100)</f>
        <v>0</v>
      </c>
      <c r="N183" s="34">
        <v>0</v>
      </c>
      <c r="O183" s="34">
        <f t="shared" ref="O183:O206" si="32">G183*N183</f>
        <v>0</v>
      </c>
      <c r="P183" s="36" t="s">
        <v>50</v>
      </c>
      <c r="Z183" s="34">
        <f t="shared" ref="Z183:Z206" si="33">IF(AQ183="5",BJ183,0)</f>
        <v>0</v>
      </c>
      <c r="AB183" s="34">
        <f t="shared" ref="AB183:AB206" si="34">IF(AQ183="1",BH183,0)</f>
        <v>0</v>
      </c>
      <c r="AC183" s="34">
        <f t="shared" ref="AC183:AC206" si="35">IF(AQ183="1",BI183,0)</f>
        <v>0</v>
      </c>
      <c r="AD183" s="34">
        <f t="shared" ref="AD183:AD206" si="36">IF(AQ183="7",BH183,0)</f>
        <v>0</v>
      </c>
      <c r="AE183" s="34">
        <f t="shared" ref="AE183:AE206" si="37">IF(AQ183="7",BI183,0)</f>
        <v>0</v>
      </c>
      <c r="AF183" s="34">
        <f t="shared" ref="AF183:AF206" si="38">IF(AQ183="2",BH183,0)</f>
        <v>0</v>
      </c>
      <c r="AG183" s="34">
        <f t="shared" ref="AG183:AG206" si="39">IF(AQ183="2",BI183,0)</f>
        <v>0</v>
      </c>
      <c r="AH183" s="34">
        <f t="shared" ref="AH183:AH206" si="40">IF(AQ183="0",BJ183,0)</f>
        <v>0</v>
      </c>
      <c r="AI183" s="11" t="s">
        <v>51</v>
      </c>
      <c r="AJ183" s="34">
        <f t="shared" ref="AJ183:AJ206" si="41">IF(AN183=0,L183,0)</f>
        <v>0</v>
      </c>
      <c r="AK183" s="34">
        <f t="shared" ref="AK183:AK206" si="42">IF(AN183=12,L183,0)</f>
        <v>0</v>
      </c>
      <c r="AL183" s="34">
        <f t="shared" ref="AL183:AL206" si="43">IF(AN183=21,L183,0)</f>
        <v>0</v>
      </c>
      <c r="AN183" s="34">
        <v>21</v>
      </c>
      <c r="AO183" s="34">
        <f t="shared" ref="AO183:AO206" si="44">H183*0</f>
        <v>0</v>
      </c>
      <c r="AP183" s="34">
        <f t="shared" ref="AP183:AP206" si="45">H183*(1-0)</f>
        <v>0</v>
      </c>
      <c r="AQ183" s="35" t="s">
        <v>55</v>
      </c>
      <c r="AV183" s="34">
        <f t="shared" ref="AV183:AV206" si="46">AW183+AX183</f>
        <v>0</v>
      </c>
      <c r="AW183" s="34">
        <f t="shared" ref="AW183:AW206" si="47">G183*AO183</f>
        <v>0</v>
      </c>
      <c r="AX183" s="34">
        <f t="shared" ref="AX183:AX206" si="48">G183*AP183</f>
        <v>0</v>
      </c>
      <c r="AY183" s="35" t="s">
        <v>305</v>
      </c>
      <c r="AZ183" s="35" t="s">
        <v>227</v>
      </c>
      <c r="BA183" s="11" t="s">
        <v>62</v>
      </c>
      <c r="BC183" s="34">
        <f t="shared" ref="BC183:BC206" si="49">AW183+AX183</f>
        <v>0</v>
      </c>
      <c r="BD183" s="34">
        <f t="shared" ref="BD183:BD206" si="50">H183/(100-BE183)*100</f>
        <v>0</v>
      </c>
      <c r="BE183" s="34">
        <v>0</v>
      </c>
      <c r="BF183" s="34">
        <f t="shared" ref="BF183:BF206" si="51">O183</f>
        <v>0</v>
      </c>
      <c r="BH183" s="34">
        <f t="shared" ref="BH183:BH206" si="52">G183*AO183</f>
        <v>0</v>
      </c>
      <c r="BI183" s="34">
        <f t="shared" ref="BI183:BI206" si="53">G183*AP183</f>
        <v>0</v>
      </c>
      <c r="BJ183" s="34">
        <f t="shared" ref="BJ183:BJ206" si="54">G183*H183</f>
        <v>0</v>
      </c>
      <c r="BK183" s="34"/>
      <c r="BL183" s="34">
        <v>59</v>
      </c>
      <c r="BW183" s="34" t="str">
        <f t="shared" ref="BW183:BW206" si="55">I183</f>
        <v>21</v>
      </c>
    </row>
    <row r="184" spans="1:75" ht="13.5" customHeight="1" x14ac:dyDescent="0.25">
      <c r="A184" s="2" t="s">
        <v>432</v>
      </c>
      <c r="B184" s="3" t="s">
        <v>51</v>
      </c>
      <c r="C184" s="3" t="s">
        <v>433</v>
      </c>
      <c r="D184" s="76" t="s">
        <v>434</v>
      </c>
      <c r="E184" s="77"/>
      <c r="F184" s="3" t="s">
        <v>487</v>
      </c>
      <c r="G184" s="34">
        <v>1</v>
      </c>
      <c r="H184" s="34"/>
      <c r="I184" s="35" t="s">
        <v>59</v>
      </c>
      <c r="J184" s="34">
        <f t="shared" si="28"/>
        <v>0</v>
      </c>
      <c r="K184" s="34">
        <f t="shared" si="29"/>
        <v>0</v>
      </c>
      <c r="L184" s="34">
        <f t="shared" si="30"/>
        <v>0</v>
      </c>
      <c r="M184" s="34">
        <f t="shared" si="31"/>
        <v>0</v>
      </c>
      <c r="N184" s="34">
        <v>0</v>
      </c>
      <c r="O184" s="34">
        <f t="shared" si="32"/>
        <v>0</v>
      </c>
      <c r="P184" s="36" t="s">
        <v>50</v>
      </c>
      <c r="Z184" s="34">
        <f t="shared" si="33"/>
        <v>0</v>
      </c>
      <c r="AB184" s="34">
        <f t="shared" si="34"/>
        <v>0</v>
      </c>
      <c r="AC184" s="34">
        <f t="shared" si="35"/>
        <v>0</v>
      </c>
      <c r="AD184" s="34">
        <f t="shared" si="36"/>
        <v>0</v>
      </c>
      <c r="AE184" s="34">
        <f t="shared" si="37"/>
        <v>0</v>
      </c>
      <c r="AF184" s="34">
        <f t="shared" si="38"/>
        <v>0</v>
      </c>
      <c r="AG184" s="34">
        <f t="shared" si="39"/>
        <v>0</v>
      </c>
      <c r="AH184" s="34">
        <f t="shared" si="40"/>
        <v>0</v>
      </c>
      <c r="AI184" s="11" t="s">
        <v>51</v>
      </c>
      <c r="AJ184" s="34">
        <f t="shared" si="41"/>
        <v>0</v>
      </c>
      <c r="AK184" s="34">
        <f t="shared" si="42"/>
        <v>0</v>
      </c>
      <c r="AL184" s="34">
        <f t="shared" si="43"/>
        <v>0</v>
      </c>
      <c r="AN184" s="34">
        <v>21</v>
      </c>
      <c r="AO184" s="34">
        <f t="shared" si="44"/>
        <v>0</v>
      </c>
      <c r="AP184" s="34">
        <f t="shared" si="45"/>
        <v>0</v>
      </c>
      <c r="AQ184" s="35" t="s">
        <v>55</v>
      </c>
      <c r="AV184" s="34">
        <f t="shared" si="46"/>
        <v>0</v>
      </c>
      <c r="AW184" s="34">
        <f t="shared" si="47"/>
        <v>0</v>
      </c>
      <c r="AX184" s="34">
        <f t="shared" si="48"/>
        <v>0</v>
      </c>
      <c r="AY184" s="35" t="s">
        <v>305</v>
      </c>
      <c r="AZ184" s="35" t="s">
        <v>227</v>
      </c>
      <c r="BA184" s="11" t="s">
        <v>62</v>
      </c>
      <c r="BC184" s="34">
        <f t="shared" si="49"/>
        <v>0</v>
      </c>
      <c r="BD184" s="34">
        <f t="shared" si="50"/>
        <v>0</v>
      </c>
      <c r="BE184" s="34">
        <v>0</v>
      </c>
      <c r="BF184" s="34">
        <f t="shared" si="51"/>
        <v>0</v>
      </c>
      <c r="BH184" s="34">
        <f t="shared" si="52"/>
        <v>0</v>
      </c>
      <c r="BI184" s="34">
        <f t="shared" si="53"/>
        <v>0</v>
      </c>
      <c r="BJ184" s="34">
        <f t="shared" si="54"/>
        <v>0</v>
      </c>
      <c r="BK184" s="34"/>
      <c r="BL184" s="34">
        <v>59</v>
      </c>
      <c r="BW184" s="34" t="str">
        <f t="shared" si="55"/>
        <v>21</v>
      </c>
    </row>
    <row r="185" spans="1:75" ht="13.5" customHeight="1" x14ac:dyDescent="0.25">
      <c r="A185" s="2" t="s">
        <v>435</v>
      </c>
      <c r="B185" s="3" t="s">
        <v>51</v>
      </c>
      <c r="C185" s="3" t="s">
        <v>436</v>
      </c>
      <c r="D185" s="76" t="s">
        <v>437</v>
      </c>
      <c r="E185" s="77"/>
      <c r="F185" s="3" t="s">
        <v>487</v>
      </c>
      <c r="G185" s="34">
        <v>1</v>
      </c>
      <c r="H185" s="34"/>
      <c r="I185" s="35" t="s">
        <v>59</v>
      </c>
      <c r="J185" s="34">
        <f t="shared" si="28"/>
        <v>0</v>
      </c>
      <c r="K185" s="34">
        <f t="shared" si="29"/>
        <v>0</v>
      </c>
      <c r="L185" s="34">
        <f t="shared" si="30"/>
        <v>0</v>
      </c>
      <c r="M185" s="34">
        <f t="shared" si="31"/>
        <v>0</v>
      </c>
      <c r="N185" s="34">
        <v>0</v>
      </c>
      <c r="O185" s="34">
        <f t="shared" si="32"/>
        <v>0</v>
      </c>
      <c r="P185" s="36" t="s">
        <v>50</v>
      </c>
      <c r="Z185" s="34">
        <f t="shared" si="33"/>
        <v>0</v>
      </c>
      <c r="AB185" s="34">
        <f t="shared" si="34"/>
        <v>0</v>
      </c>
      <c r="AC185" s="34">
        <f t="shared" si="35"/>
        <v>0</v>
      </c>
      <c r="AD185" s="34">
        <f t="shared" si="36"/>
        <v>0</v>
      </c>
      <c r="AE185" s="34">
        <f t="shared" si="37"/>
        <v>0</v>
      </c>
      <c r="AF185" s="34">
        <f t="shared" si="38"/>
        <v>0</v>
      </c>
      <c r="AG185" s="34">
        <f t="shared" si="39"/>
        <v>0</v>
      </c>
      <c r="AH185" s="34">
        <f t="shared" si="40"/>
        <v>0</v>
      </c>
      <c r="AI185" s="11" t="s">
        <v>51</v>
      </c>
      <c r="AJ185" s="34">
        <f t="shared" si="41"/>
        <v>0</v>
      </c>
      <c r="AK185" s="34">
        <f t="shared" si="42"/>
        <v>0</v>
      </c>
      <c r="AL185" s="34">
        <f t="shared" si="43"/>
        <v>0</v>
      </c>
      <c r="AN185" s="34">
        <v>21</v>
      </c>
      <c r="AO185" s="34">
        <f t="shared" si="44"/>
        <v>0</v>
      </c>
      <c r="AP185" s="34">
        <f t="shared" si="45"/>
        <v>0</v>
      </c>
      <c r="AQ185" s="35" t="s">
        <v>55</v>
      </c>
      <c r="AV185" s="34">
        <f t="shared" si="46"/>
        <v>0</v>
      </c>
      <c r="AW185" s="34">
        <f t="shared" si="47"/>
        <v>0</v>
      </c>
      <c r="AX185" s="34">
        <f t="shared" si="48"/>
        <v>0</v>
      </c>
      <c r="AY185" s="35" t="s">
        <v>305</v>
      </c>
      <c r="AZ185" s="35" t="s">
        <v>227</v>
      </c>
      <c r="BA185" s="11" t="s">
        <v>62</v>
      </c>
      <c r="BC185" s="34">
        <f t="shared" si="49"/>
        <v>0</v>
      </c>
      <c r="BD185" s="34">
        <f t="shared" si="50"/>
        <v>0</v>
      </c>
      <c r="BE185" s="34">
        <v>0</v>
      </c>
      <c r="BF185" s="34">
        <f t="shared" si="51"/>
        <v>0</v>
      </c>
      <c r="BH185" s="34">
        <f t="shared" si="52"/>
        <v>0</v>
      </c>
      <c r="BI185" s="34">
        <f t="shared" si="53"/>
        <v>0</v>
      </c>
      <c r="BJ185" s="34">
        <f t="shared" si="54"/>
        <v>0</v>
      </c>
      <c r="BK185" s="34"/>
      <c r="BL185" s="34">
        <v>59</v>
      </c>
      <c r="BW185" s="34" t="str">
        <f t="shared" si="55"/>
        <v>21</v>
      </c>
    </row>
    <row r="186" spans="1:75" ht="13.5" customHeight="1" x14ac:dyDescent="0.25">
      <c r="A186" s="2" t="s">
        <v>438</v>
      </c>
      <c r="B186" s="3" t="s">
        <v>51</v>
      </c>
      <c r="C186" s="3" t="s">
        <v>439</v>
      </c>
      <c r="D186" s="76" t="s">
        <v>381</v>
      </c>
      <c r="E186" s="77"/>
      <c r="F186" s="3" t="s">
        <v>487</v>
      </c>
      <c r="G186" s="34">
        <v>1</v>
      </c>
      <c r="H186" s="34"/>
      <c r="I186" s="35" t="s">
        <v>59</v>
      </c>
      <c r="J186" s="34">
        <f t="shared" si="28"/>
        <v>0</v>
      </c>
      <c r="K186" s="34">
        <f t="shared" si="29"/>
        <v>0</v>
      </c>
      <c r="L186" s="34">
        <f t="shared" si="30"/>
        <v>0</v>
      </c>
      <c r="M186" s="34">
        <f t="shared" si="31"/>
        <v>0</v>
      </c>
      <c r="N186" s="34">
        <v>0</v>
      </c>
      <c r="O186" s="34">
        <f t="shared" si="32"/>
        <v>0</v>
      </c>
      <c r="P186" s="36" t="s">
        <v>50</v>
      </c>
      <c r="Z186" s="34">
        <f t="shared" si="33"/>
        <v>0</v>
      </c>
      <c r="AB186" s="34">
        <f t="shared" si="34"/>
        <v>0</v>
      </c>
      <c r="AC186" s="34">
        <f t="shared" si="35"/>
        <v>0</v>
      </c>
      <c r="AD186" s="34">
        <f t="shared" si="36"/>
        <v>0</v>
      </c>
      <c r="AE186" s="34">
        <f t="shared" si="37"/>
        <v>0</v>
      </c>
      <c r="AF186" s="34">
        <f t="shared" si="38"/>
        <v>0</v>
      </c>
      <c r="AG186" s="34">
        <f t="shared" si="39"/>
        <v>0</v>
      </c>
      <c r="AH186" s="34">
        <f t="shared" si="40"/>
        <v>0</v>
      </c>
      <c r="AI186" s="11" t="s">
        <v>51</v>
      </c>
      <c r="AJ186" s="34">
        <f t="shared" si="41"/>
        <v>0</v>
      </c>
      <c r="AK186" s="34">
        <f t="shared" si="42"/>
        <v>0</v>
      </c>
      <c r="AL186" s="34">
        <f t="shared" si="43"/>
        <v>0</v>
      </c>
      <c r="AN186" s="34">
        <v>21</v>
      </c>
      <c r="AO186" s="34">
        <f t="shared" si="44"/>
        <v>0</v>
      </c>
      <c r="AP186" s="34">
        <f t="shared" si="45"/>
        <v>0</v>
      </c>
      <c r="AQ186" s="35" t="s">
        <v>55</v>
      </c>
      <c r="AV186" s="34">
        <f t="shared" si="46"/>
        <v>0</v>
      </c>
      <c r="AW186" s="34">
        <f t="shared" si="47"/>
        <v>0</v>
      </c>
      <c r="AX186" s="34">
        <f t="shared" si="48"/>
        <v>0</v>
      </c>
      <c r="AY186" s="35" t="s">
        <v>305</v>
      </c>
      <c r="AZ186" s="35" t="s">
        <v>227</v>
      </c>
      <c r="BA186" s="11" t="s">
        <v>62</v>
      </c>
      <c r="BC186" s="34">
        <f t="shared" si="49"/>
        <v>0</v>
      </c>
      <c r="BD186" s="34">
        <f t="shared" si="50"/>
        <v>0</v>
      </c>
      <c r="BE186" s="34">
        <v>0</v>
      </c>
      <c r="BF186" s="34">
        <f t="shared" si="51"/>
        <v>0</v>
      </c>
      <c r="BH186" s="34">
        <f t="shared" si="52"/>
        <v>0</v>
      </c>
      <c r="BI186" s="34">
        <f t="shared" si="53"/>
        <v>0</v>
      </c>
      <c r="BJ186" s="34">
        <f t="shared" si="54"/>
        <v>0</v>
      </c>
      <c r="BK186" s="34"/>
      <c r="BL186" s="34">
        <v>59</v>
      </c>
      <c r="BW186" s="34" t="str">
        <f t="shared" si="55"/>
        <v>21</v>
      </c>
    </row>
    <row r="187" spans="1:75" ht="13.5" customHeight="1" x14ac:dyDescent="0.25">
      <c r="A187" s="2" t="s">
        <v>440</v>
      </c>
      <c r="B187" s="3" t="s">
        <v>51</v>
      </c>
      <c r="C187" s="3" t="s">
        <v>441</v>
      </c>
      <c r="D187" s="76" t="s">
        <v>442</v>
      </c>
      <c r="E187" s="77"/>
      <c r="F187" s="3" t="s">
        <v>115</v>
      </c>
      <c r="G187" s="34">
        <v>18</v>
      </c>
      <c r="H187" s="34"/>
      <c r="I187" s="35" t="s">
        <v>59</v>
      </c>
      <c r="J187" s="34">
        <f t="shared" si="28"/>
        <v>0</v>
      </c>
      <c r="K187" s="34">
        <f t="shared" si="29"/>
        <v>0</v>
      </c>
      <c r="L187" s="34">
        <f t="shared" si="30"/>
        <v>0</v>
      </c>
      <c r="M187" s="34">
        <f t="shared" si="31"/>
        <v>0</v>
      </c>
      <c r="N187" s="34">
        <v>0.2843</v>
      </c>
      <c r="O187" s="34">
        <f t="shared" si="32"/>
        <v>5.1173999999999999</v>
      </c>
      <c r="P187" s="36" t="s">
        <v>50</v>
      </c>
      <c r="Z187" s="34">
        <f t="shared" si="33"/>
        <v>0</v>
      </c>
      <c r="AB187" s="34">
        <f t="shared" si="34"/>
        <v>0</v>
      </c>
      <c r="AC187" s="34">
        <f t="shared" si="35"/>
        <v>0</v>
      </c>
      <c r="AD187" s="34">
        <f t="shared" si="36"/>
        <v>0</v>
      </c>
      <c r="AE187" s="34">
        <f t="shared" si="37"/>
        <v>0</v>
      </c>
      <c r="AF187" s="34">
        <f t="shared" si="38"/>
        <v>0</v>
      </c>
      <c r="AG187" s="34">
        <f t="shared" si="39"/>
        <v>0</v>
      </c>
      <c r="AH187" s="34">
        <f t="shared" si="40"/>
        <v>0</v>
      </c>
      <c r="AI187" s="11" t="s">
        <v>51</v>
      </c>
      <c r="AJ187" s="34">
        <f t="shared" si="41"/>
        <v>0</v>
      </c>
      <c r="AK187" s="34">
        <f t="shared" si="42"/>
        <v>0</v>
      </c>
      <c r="AL187" s="34">
        <f t="shared" si="43"/>
        <v>0</v>
      </c>
      <c r="AN187" s="34">
        <v>21</v>
      </c>
      <c r="AO187" s="34">
        <f t="shared" si="44"/>
        <v>0</v>
      </c>
      <c r="AP187" s="34">
        <f t="shared" si="45"/>
        <v>0</v>
      </c>
      <c r="AQ187" s="35" t="s">
        <v>55</v>
      </c>
      <c r="AV187" s="34">
        <f t="shared" si="46"/>
        <v>0</v>
      </c>
      <c r="AW187" s="34">
        <f t="shared" si="47"/>
        <v>0</v>
      </c>
      <c r="AX187" s="34">
        <f t="shared" si="48"/>
        <v>0</v>
      </c>
      <c r="AY187" s="35" t="s">
        <v>305</v>
      </c>
      <c r="AZ187" s="35" t="s">
        <v>227</v>
      </c>
      <c r="BA187" s="11" t="s">
        <v>62</v>
      </c>
      <c r="BC187" s="34">
        <f t="shared" si="49"/>
        <v>0</v>
      </c>
      <c r="BD187" s="34">
        <f t="shared" si="50"/>
        <v>0</v>
      </c>
      <c r="BE187" s="34">
        <v>0</v>
      </c>
      <c r="BF187" s="34">
        <f t="shared" si="51"/>
        <v>5.1173999999999999</v>
      </c>
      <c r="BH187" s="34">
        <f t="shared" si="52"/>
        <v>0</v>
      </c>
      <c r="BI187" s="34">
        <f t="shared" si="53"/>
        <v>0</v>
      </c>
      <c r="BJ187" s="34">
        <f t="shared" si="54"/>
        <v>0</v>
      </c>
      <c r="BK187" s="34"/>
      <c r="BL187" s="34">
        <v>59</v>
      </c>
      <c r="BW187" s="34" t="str">
        <f t="shared" si="55"/>
        <v>21</v>
      </c>
    </row>
    <row r="188" spans="1:75" ht="13.5" customHeight="1" x14ac:dyDescent="0.25">
      <c r="A188" s="2" t="s">
        <v>443</v>
      </c>
      <c r="B188" s="3" t="s">
        <v>51</v>
      </c>
      <c r="C188" s="3" t="s">
        <v>444</v>
      </c>
      <c r="D188" s="76" t="s">
        <v>445</v>
      </c>
      <c r="E188" s="77"/>
      <c r="F188" s="3" t="s">
        <v>487</v>
      </c>
      <c r="G188" s="34">
        <v>36</v>
      </c>
      <c r="H188" s="34"/>
      <c r="I188" s="35" t="s">
        <v>59</v>
      </c>
      <c r="J188" s="34">
        <f t="shared" si="28"/>
        <v>0</v>
      </c>
      <c r="K188" s="34">
        <f t="shared" si="29"/>
        <v>0</v>
      </c>
      <c r="L188" s="34">
        <f t="shared" si="30"/>
        <v>0</v>
      </c>
      <c r="M188" s="34">
        <f t="shared" si="31"/>
        <v>0</v>
      </c>
      <c r="N188" s="34">
        <v>0</v>
      </c>
      <c r="O188" s="34">
        <f t="shared" si="32"/>
        <v>0</v>
      </c>
      <c r="P188" s="36" t="s">
        <v>50</v>
      </c>
      <c r="Z188" s="34">
        <f t="shared" si="33"/>
        <v>0</v>
      </c>
      <c r="AB188" s="34">
        <f t="shared" si="34"/>
        <v>0</v>
      </c>
      <c r="AC188" s="34">
        <f t="shared" si="35"/>
        <v>0</v>
      </c>
      <c r="AD188" s="34">
        <f t="shared" si="36"/>
        <v>0</v>
      </c>
      <c r="AE188" s="34">
        <f t="shared" si="37"/>
        <v>0</v>
      </c>
      <c r="AF188" s="34">
        <f t="shared" si="38"/>
        <v>0</v>
      </c>
      <c r="AG188" s="34">
        <f t="shared" si="39"/>
        <v>0</v>
      </c>
      <c r="AH188" s="34">
        <f t="shared" si="40"/>
        <v>0</v>
      </c>
      <c r="AI188" s="11" t="s">
        <v>51</v>
      </c>
      <c r="AJ188" s="34">
        <f t="shared" si="41"/>
        <v>0</v>
      </c>
      <c r="AK188" s="34">
        <f t="shared" si="42"/>
        <v>0</v>
      </c>
      <c r="AL188" s="34">
        <f t="shared" si="43"/>
        <v>0</v>
      </c>
      <c r="AN188" s="34">
        <v>21</v>
      </c>
      <c r="AO188" s="34">
        <f t="shared" si="44"/>
        <v>0</v>
      </c>
      <c r="AP188" s="34">
        <f t="shared" si="45"/>
        <v>0</v>
      </c>
      <c r="AQ188" s="35" t="s">
        <v>55</v>
      </c>
      <c r="AV188" s="34">
        <f t="shared" si="46"/>
        <v>0</v>
      </c>
      <c r="AW188" s="34">
        <f t="shared" si="47"/>
        <v>0</v>
      </c>
      <c r="AX188" s="34">
        <f t="shared" si="48"/>
        <v>0</v>
      </c>
      <c r="AY188" s="35" t="s">
        <v>305</v>
      </c>
      <c r="AZ188" s="35" t="s">
        <v>227</v>
      </c>
      <c r="BA188" s="11" t="s">
        <v>62</v>
      </c>
      <c r="BC188" s="34">
        <f t="shared" si="49"/>
        <v>0</v>
      </c>
      <c r="BD188" s="34">
        <f t="shared" si="50"/>
        <v>0</v>
      </c>
      <c r="BE188" s="34">
        <v>0</v>
      </c>
      <c r="BF188" s="34">
        <f t="shared" si="51"/>
        <v>0</v>
      </c>
      <c r="BH188" s="34">
        <f t="shared" si="52"/>
        <v>0</v>
      </c>
      <c r="BI188" s="34">
        <f t="shared" si="53"/>
        <v>0</v>
      </c>
      <c r="BJ188" s="34">
        <f t="shared" si="54"/>
        <v>0</v>
      </c>
      <c r="BK188" s="34"/>
      <c r="BL188" s="34">
        <v>59</v>
      </c>
      <c r="BW188" s="34" t="str">
        <f t="shared" si="55"/>
        <v>21</v>
      </c>
    </row>
    <row r="189" spans="1:75" ht="13.5" customHeight="1" x14ac:dyDescent="0.25">
      <c r="A189" s="2" t="s">
        <v>446</v>
      </c>
      <c r="B189" s="3" t="s">
        <v>51</v>
      </c>
      <c r="C189" s="3" t="s">
        <v>447</v>
      </c>
      <c r="D189" s="76" t="s">
        <v>372</v>
      </c>
      <c r="E189" s="77"/>
      <c r="F189" s="3" t="s">
        <v>487</v>
      </c>
      <c r="G189" s="34">
        <v>4</v>
      </c>
      <c r="H189" s="34"/>
      <c r="I189" s="35" t="s">
        <v>59</v>
      </c>
      <c r="J189" s="34">
        <f t="shared" si="28"/>
        <v>0</v>
      </c>
      <c r="K189" s="34">
        <f t="shared" si="29"/>
        <v>0</v>
      </c>
      <c r="L189" s="34">
        <f t="shared" si="30"/>
        <v>0</v>
      </c>
      <c r="M189" s="34">
        <f t="shared" si="31"/>
        <v>0</v>
      </c>
      <c r="N189" s="34">
        <v>0</v>
      </c>
      <c r="O189" s="34">
        <f t="shared" si="32"/>
        <v>0</v>
      </c>
      <c r="P189" s="36" t="s">
        <v>50</v>
      </c>
      <c r="Z189" s="34">
        <f t="shared" si="33"/>
        <v>0</v>
      </c>
      <c r="AB189" s="34">
        <f t="shared" si="34"/>
        <v>0</v>
      </c>
      <c r="AC189" s="34">
        <f t="shared" si="35"/>
        <v>0</v>
      </c>
      <c r="AD189" s="34">
        <f t="shared" si="36"/>
        <v>0</v>
      </c>
      <c r="AE189" s="34">
        <f t="shared" si="37"/>
        <v>0</v>
      </c>
      <c r="AF189" s="34">
        <f t="shared" si="38"/>
        <v>0</v>
      </c>
      <c r="AG189" s="34">
        <f t="shared" si="39"/>
        <v>0</v>
      </c>
      <c r="AH189" s="34">
        <f t="shared" si="40"/>
        <v>0</v>
      </c>
      <c r="AI189" s="11" t="s">
        <v>51</v>
      </c>
      <c r="AJ189" s="34">
        <f t="shared" si="41"/>
        <v>0</v>
      </c>
      <c r="AK189" s="34">
        <f t="shared" si="42"/>
        <v>0</v>
      </c>
      <c r="AL189" s="34">
        <f t="shared" si="43"/>
        <v>0</v>
      </c>
      <c r="AN189" s="34">
        <v>21</v>
      </c>
      <c r="AO189" s="34">
        <f t="shared" si="44"/>
        <v>0</v>
      </c>
      <c r="AP189" s="34">
        <f t="shared" si="45"/>
        <v>0</v>
      </c>
      <c r="AQ189" s="35" t="s">
        <v>55</v>
      </c>
      <c r="AV189" s="34">
        <f t="shared" si="46"/>
        <v>0</v>
      </c>
      <c r="AW189" s="34">
        <f t="shared" si="47"/>
        <v>0</v>
      </c>
      <c r="AX189" s="34">
        <f t="shared" si="48"/>
        <v>0</v>
      </c>
      <c r="AY189" s="35" t="s">
        <v>305</v>
      </c>
      <c r="AZ189" s="35" t="s">
        <v>227</v>
      </c>
      <c r="BA189" s="11" t="s">
        <v>62</v>
      </c>
      <c r="BC189" s="34">
        <f t="shared" si="49"/>
        <v>0</v>
      </c>
      <c r="BD189" s="34">
        <f t="shared" si="50"/>
        <v>0</v>
      </c>
      <c r="BE189" s="34">
        <v>0</v>
      </c>
      <c r="BF189" s="34">
        <f t="shared" si="51"/>
        <v>0</v>
      </c>
      <c r="BH189" s="34">
        <f t="shared" si="52"/>
        <v>0</v>
      </c>
      <c r="BI189" s="34">
        <f t="shared" si="53"/>
        <v>0</v>
      </c>
      <c r="BJ189" s="34">
        <f t="shared" si="54"/>
        <v>0</v>
      </c>
      <c r="BK189" s="34"/>
      <c r="BL189" s="34">
        <v>59</v>
      </c>
      <c r="BW189" s="34" t="str">
        <f t="shared" si="55"/>
        <v>21</v>
      </c>
    </row>
    <row r="190" spans="1:75" ht="13.5" customHeight="1" x14ac:dyDescent="0.25">
      <c r="A190" s="2" t="s">
        <v>448</v>
      </c>
      <c r="B190" s="3" t="s">
        <v>51</v>
      </c>
      <c r="C190" s="3" t="s">
        <v>449</v>
      </c>
      <c r="D190" s="76" t="s">
        <v>402</v>
      </c>
      <c r="E190" s="77"/>
      <c r="F190" s="3" t="s">
        <v>487</v>
      </c>
      <c r="G190" s="34">
        <v>1</v>
      </c>
      <c r="H190" s="34"/>
      <c r="I190" s="35" t="s">
        <v>59</v>
      </c>
      <c r="J190" s="34">
        <f t="shared" si="28"/>
        <v>0</v>
      </c>
      <c r="K190" s="34">
        <f t="shared" si="29"/>
        <v>0</v>
      </c>
      <c r="L190" s="34">
        <f t="shared" si="30"/>
        <v>0</v>
      </c>
      <c r="M190" s="34">
        <f t="shared" si="31"/>
        <v>0</v>
      </c>
      <c r="N190" s="34">
        <v>0</v>
      </c>
      <c r="O190" s="34">
        <f t="shared" si="32"/>
        <v>0</v>
      </c>
      <c r="P190" s="36" t="s">
        <v>50</v>
      </c>
      <c r="Z190" s="34">
        <f t="shared" si="33"/>
        <v>0</v>
      </c>
      <c r="AB190" s="34">
        <f t="shared" si="34"/>
        <v>0</v>
      </c>
      <c r="AC190" s="34">
        <f t="shared" si="35"/>
        <v>0</v>
      </c>
      <c r="AD190" s="34">
        <f t="shared" si="36"/>
        <v>0</v>
      </c>
      <c r="AE190" s="34">
        <f t="shared" si="37"/>
        <v>0</v>
      </c>
      <c r="AF190" s="34">
        <f t="shared" si="38"/>
        <v>0</v>
      </c>
      <c r="AG190" s="34">
        <f t="shared" si="39"/>
        <v>0</v>
      </c>
      <c r="AH190" s="34">
        <f t="shared" si="40"/>
        <v>0</v>
      </c>
      <c r="AI190" s="11" t="s">
        <v>51</v>
      </c>
      <c r="AJ190" s="34">
        <f t="shared" si="41"/>
        <v>0</v>
      </c>
      <c r="AK190" s="34">
        <f t="shared" si="42"/>
        <v>0</v>
      </c>
      <c r="AL190" s="34">
        <f t="shared" si="43"/>
        <v>0</v>
      </c>
      <c r="AN190" s="34">
        <v>21</v>
      </c>
      <c r="AO190" s="34">
        <f t="shared" si="44"/>
        <v>0</v>
      </c>
      <c r="AP190" s="34">
        <f t="shared" si="45"/>
        <v>0</v>
      </c>
      <c r="AQ190" s="35" t="s">
        <v>55</v>
      </c>
      <c r="AV190" s="34">
        <f t="shared" si="46"/>
        <v>0</v>
      </c>
      <c r="AW190" s="34">
        <f t="shared" si="47"/>
        <v>0</v>
      </c>
      <c r="AX190" s="34">
        <f t="shared" si="48"/>
        <v>0</v>
      </c>
      <c r="AY190" s="35" t="s">
        <v>305</v>
      </c>
      <c r="AZ190" s="35" t="s">
        <v>227</v>
      </c>
      <c r="BA190" s="11" t="s">
        <v>62</v>
      </c>
      <c r="BC190" s="34">
        <f t="shared" si="49"/>
        <v>0</v>
      </c>
      <c r="BD190" s="34">
        <f t="shared" si="50"/>
        <v>0</v>
      </c>
      <c r="BE190" s="34">
        <v>0</v>
      </c>
      <c r="BF190" s="34">
        <f t="shared" si="51"/>
        <v>0</v>
      </c>
      <c r="BH190" s="34">
        <f t="shared" si="52"/>
        <v>0</v>
      </c>
      <c r="BI190" s="34">
        <f t="shared" si="53"/>
        <v>0</v>
      </c>
      <c r="BJ190" s="34">
        <f t="shared" si="54"/>
        <v>0</v>
      </c>
      <c r="BK190" s="34"/>
      <c r="BL190" s="34">
        <v>59</v>
      </c>
      <c r="BW190" s="34" t="str">
        <f t="shared" si="55"/>
        <v>21</v>
      </c>
    </row>
    <row r="191" spans="1:75" ht="13.5" customHeight="1" x14ac:dyDescent="0.25">
      <c r="A191" s="2" t="s">
        <v>450</v>
      </c>
      <c r="B191" s="3" t="s">
        <v>51</v>
      </c>
      <c r="C191" s="3" t="s">
        <v>451</v>
      </c>
      <c r="D191" s="76" t="s">
        <v>405</v>
      </c>
      <c r="E191" s="77"/>
      <c r="F191" s="3" t="s">
        <v>487</v>
      </c>
      <c r="G191" s="34">
        <v>1</v>
      </c>
      <c r="H191" s="34"/>
      <c r="I191" s="35" t="s">
        <v>59</v>
      </c>
      <c r="J191" s="34">
        <f t="shared" si="28"/>
        <v>0</v>
      </c>
      <c r="K191" s="34">
        <f t="shared" si="29"/>
        <v>0</v>
      </c>
      <c r="L191" s="34">
        <f t="shared" si="30"/>
        <v>0</v>
      </c>
      <c r="M191" s="34">
        <f t="shared" si="31"/>
        <v>0</v>
      </c>
      <c r="N191" s="34">
        <v>0</v>
      </c>
      <c r="O191" s="34">
        <f t="shared" si="32"/>
        <v>0</v>
      </c>
      <c r="P191" s="36" t="s">
        <v>50</v>
      </c>
      <c r="Z191" s="34">
        <f t="shared" si="33"/>
        <v>0</v>
      </c>
      <c r="AB191" s="34">
        <f t="shared" si="34"/>
        <v>0</v>
      </c>
      <c r="AC191" s="34">
        <f t="shared" si="35"/>
        <v>0</v>
      </c>
      <c r="AD191" s="34">
        <f t="shared" si="36"/>
        <v>0</v>
      </c>
      <c r="AE191" s="34">
        <f t="shared" si="37"/>
        <v>0</v>
      </c>
      <c r="AF191" s="34">
        <f t="shared" si="38"/>
        <v>0</v>
      </c>
      <c r="AG191" s="34">
        <f t="shared" si="39"/>
        <v>0</v>
      </c>
      <c r="AH191" s="34">
        <f t="shared" si="40"/>
        <v>0</v>
      </c>
      <c r="AI191" s="11" t="s">
        <v>51</v>
      </c>
      <c r="AJ191" s="34">
        <f t="shared" si="41"/>
        <v>0</v>
      </c>
      <c r="AK191" s="34">
        <f t="shared" si="42"/>
        <v>0</v>
      </c>
      <c r="AL191" s="34">
        <f t="shared" si="43"/>
        <v>0</v>
      </c>
      <c r="AN191" s="34">
        <v>21</v>
      </c>
      <c r="AO191" s="34">
        <f t="shared" si="44"/>
        <v>0</v>
      </c>
      <c r="AP191" s="34">
        <f t="shared" si="45"/>
        <v>0</v>
      </c>
      <c r="AQ191" s="35" t="s">
        <v>55</v>
      </c>
      <c r="AV191" s="34">
        <f t="shared" si="46"/>
        <v>0</v>
      </c>
      <c r="AW191" s="34">
        <f t="shared" si="47"/>
        <v>0</v>
      </c>
      <c r="AX191" s="34">
        <f t="shared" si="48"/>
        <v>0</v>
      </c>
      <c r="AY191" s="35" t="s">
        <v>305</v>
      </c>
      <c r="AZ191" s="35" t="s">
        <v>227</v>
      </c>
      <c r="BA191" s="11" t="s">
        <v>62</v>
      </c>
      <c r="BC191" s="34">
        <f t="shared" si="49"/>
        <v>0</v>
      </c>
      <c r="BD191" s="34">
        <f t="shared" si="50"/>
        <v>0</v>
      </c>
      <c r="BE191" s="34">
        <v>0</v>
      </c>
      <c r="BF191" s="34">
        <f t="shared" si="51"/>
        <v>0</v>
      </c>
      <c r="BH191" s="34">
        <f t="shared" si="52"/>
        <v>0</v>
      </c>
      <c r="BI191" s="34">
        <f t="shared" si="53"/>
        <v>0</v>
      </c>
      <c r="BJ191" s="34">
        <f t="shared" si="54"/>
        <v>0</v>
      </c>
      <c r="BK191" s="34"/>
      <c r="BL191" s="34">
        <v>59</v>
      </c>
      <c r="BW191" s="34" t="str">
        <f t="shared" si="55"/>
        <v>21</v>
      </c>
    </row>
    <row r="192" spans="1:75" ht="13.5" customHeight="1" x14ac:dyDescent="0.25">
      <c r="A192" s="2" t="s">
        <v>452</v>
      </c>
      <c r="B192" s="3" t="s">
        <v>51</v>
      </c>
      <c r="C192" s="3" t="s">
        <v>453</v>
      </c>
      <c r="D192" s="76" t="s">
        <v>408</v>
      </c>
      <c r="E192" s="77"/>
      <c r="F192" s="3" t="s">
        <v>487</v>
      </c>
      <c r="G192" s="34">
        <v>1</v>
      </c>
      <c r="H192" s="34"/>
      <c r="I192" s="35" t="s">
        <v>59</v>
      </c>
      <c r="J192" s="34">
        <f t="shared" si="28"/>
        <v>0</v>
      </c>
      <c r="K192" s="34">
        <f t="shared" si="29"/>
        <v>0</v>
      </c>
      <c r="L192" s="34">
        <f t="shared" si="30"/>
        <v>0</v>
      </c>
      <c r="M192" s="34">
        <f t="shared" si="31"/>
        <v>0</v>
      </c>
      <c r="N192" s="34">
        <v>0</v>
      </c>
      <c r="O192" s="34">
        <f t="shared" si="32"/>
        <v>0</v>
      </c>
      <c r="P192" s="36" t="s">
        <v>50</v>
      </c>
      <c r="Z192" s="34">
        <f t="shared" si="33"/>
        <v>0</v>
      </c>
      <c r="AB192" s="34">
        <f t="shared" si="34"/>
        <v>0</v>
      </c>
      <c r="AC192" s="34">
        <f t="shared" si="35"/>
        <v>0</v>
      </c>
      <c r="AD192" s="34">
        <f t="shared" si="36"/>
        <v>0</v>
      </c>
      <c r="AE192" s="34">
        <f t="shared" si="37"/>
        <v>0</v>
      </c>
      <c r="AF192" s="34">
        <f t="shared" si="38"/>
        <v>0</v>
      </c>
      <c r="AG192" s="34">
        <f t="shared" si="39"/>
        <v>0</v>
      </c>
      <c r="AH192" s="34">
        <f t="shared" si="40"/>
        <v>0</v>
      </c>
      <c r="AI192" s="11" t="s">
        <v>51</v>
      </c>
      <c r="AJ192" s="34">
        <f t="shared" si="41"/>
        <v>0</v>
      </c>
      <c r="AK192" s="34">
        <f t="shared" si="42"/>
        <v>0</v>
      </c>
      <c r="AL192" s="34">
        <f t="shared" si="43"/>
        <v>0</v>
      </c>
      <c r="AN192" s="34">
        <v>21</v>
      </c>
      <c r="AO192" s="34">
        <f t="shared" si="44"/>
        <v>0</v>
      </c>
      <c r="AP192" s="34">
        <f t="shared" si="45"/>
        <v>0</v>
      </c>
      <c r="AQ192" s="35" t="s">
        <v>55</v>
      </c>
      <c r="AV192" s="34">
        <f t="shared" si="46"/>
        <v>0</v>
      </c>
      <c r="AW192" s="34">
        <f t="shared" si="47"/>
        <v>0</v>
      </c>
      <c r="AX192" s="34">
        <f t="shared" si="48"/>
        <v>0</v>
      </c>
      <c r="AY192" s="35" t="s">
        <v>305</v>
      </c>
      <c r="AZ192" s="35" t="s">
        <v>227</v>
      </c>
      <c r="BA192" s="11" t="s">
        <v>62</v>
      </c>
      <c r="BC192" s="34">
        <f t="shared" si="49"/>
        <v>0</v>
      </c>
      <c r="BD192" s="34">
        <f t="shared" si="50"/>
        <v>0</v>
      </c>
      <c r="BE192" s="34">
        <v>0</v>
      </c>
      <c r="BF192" s="34">
        <f t="shared" si="51"/>
        <v>0</v>
      </c>
      <c r="BH192" s="34">
        <f t="shared" si="52"/>
        <v>0</v>
      </c>
      <c r="BI192" s="34">
        <f t="shared" si="53"/>
        <v>0</v>
      </c>
      <c r="BJ192" s="34">
        <f t="shared" si="54"/>
        <v>0</v>
      </c>
      <c r="BK192" s="34"/>
      <c r="BL192" s="34">
        <v>59</v>
      </c>
      <c r="BW192" s="34" t="str">
        <f t="shared" si="55"/>
        <v>21</v>
      </c>
    </row>
    <row r="193" spans="1:75" ht="13.5" customHeight="1" x14ac:dyDescent="0.25">
      <c r="A193" s="2" t="s">
        <v>454</v>
      </c>
      <c r="B193" s="3" t="s">
        <v>51</v>
      </c>
      <c r="C193" s="3" t="s">
        <v>455</v>
      </c>
      <c r="D193" s="76" t="s">
        <v>411</v>
      </c>
      <c r="E193" s="77"/>
      <c r="F193" s="3" t="s">
        <v>487</v>
      </c>
      <c r="G193" s="34">
        <v>1</v>
      </c>
      <c r="H193" s="34"/>
      <c r="I193" s="35" t="s">
        <v>59</v>
      </c>
      <c r="J193" s="34">
        <f t="shared" si="28"/>
        <v>0</v>
      </c>
      <c r="K193" s="34">
        <f t="shared" si="29"/>
        <v>0</v>
      </c>
      <c r="L193" s="34">
        <f t="shared" si="30"/>
        <v>0</v>
      </c>
      <c r="M193" s="34">
        <f t="shared" si="31"/>
        <v>0</v>
      </c>
      <c r="N193" s="34">
        <v>0</v>
      </c>
      <c r="O193" s="34">
        <f t="shared" si="32"/>
        <v>0</v>
      </c>
      <c r="P193" s="36" t="s">
        <v>50</v>
      </c>
      <c r="Z193" s="34">
        <f t="shared" si="33"/>
        <v>0</v>
      </c>
      <c r="AB193" s="34">
        <f t="shared" si="34"/>
        <v>0</v>
      </c>
      <c r="AC193" s="34">
        <f t="shared" si="35"/>
        <v>0</v>
      </c>
      <c r="AD193" s="34">
        <f t="shared" si="36"/>
        <v>0</v>
      </c>
      <c r="AE193" s="34">
        <f t="shared" si="37"/>
        <v>0</v>
      </c>
      <c r="AF193" s="34">
        <f t="shared" si="38"/>
        <v>0</v>
      </c>
      <c r="AG193" s="34">
        <f t="shared" si="39"/>
        <v>0</v>
      </c>
      <c r="AH193" s="34">
        <f t="shared" si="40"/>
        <v>0</v>
      </c>
      <c r="AI193" s="11" t="s">
        <v>51</v>
      </c>
      <c r="AJ193" s="34">
        <f t="shared" si="41"/>
        <v>0</v>
      </c>
      <c r="AK193" s="34">
        <f t="shared" si="42"/>
        <v>0</v>
      </c>
      <c r="AL193" s="34">
        <f t="shared" si="43"/>
        <v>0</v>
      </c>
      <c r="AN193" s="34">
        <v>21</v>
      </c>
      <c r="AO193" s="34">
        <f t="shared" si="44"/>
        <v>0</v>
      </c>
      <c r="AP193" s="34">
        <f t="shared" si="45"/>
        <v>0</v>
      </c>
      <c r="AQ193" s="35" t="s">
        <v>55</v>
      </c>
      <c r="AV193" s="34">
        <f t="shared" si="46"/>
        <v>0</v>
      </c>
      <c r="AW193" s="34">
        <f t="shared" si="47"/>
        <v>0</v>
      </c>
      <c r="AX193" s="34">
        <f t="shared" si="48"/>
        <v>0</v>
      </c>
      <c r="AY193" s="35" t="s">
        <v>305</v>
      </c>
      <c r="AZ193" s="35" t="s">
        <v>227</v>
      </c>
      <c r="BA193" s="11" t="s">
        <v>62</v>
      </c>
      <c r="BC193" s="34">
        <f t="shared" si="49"/>
        <v>0</v>
      </c>
      <c r="BD193" s="34">
        <f t="shared" si="50"/>
        <v>0</v>
      </c>
      <c r="BE193" s="34">
        <v>0</v>
      </c>
      <c r="BF193" s="34">
        <f t="shared" si="51"/>
        <v>0</v>
      </c>
      <c r="BH193" s="34">
        <f t="shared" si="52"/>
        <v>0</v>
      </c>
      <c r="BI193" s="34">
        <f t="shared" si="53"/>
        <v>0</v>
      </c>
      <c r="BJ193" s="34">
        <f t="shared" si="54"/>
        <v>0</v>
      </c>
      <c r="BK193" s="34"/>
      <c r="BL193" s="34">
        <v>59</v>
      </c>
      <c r="BW193" s="34" t="str">
        <f t="shared" si="55"/>
        <v>21</v>
      </c>
    </row>
    <row r="194" spans="1:75" ht="13.5" customHeight="1" x14ac:dyDescent="0.25">
      <c r="A194" s="2" t="s">
        <v>456</v>
      </c>
      <c r="B194" s="3" t="s">
        <v>51</v>
      </c>
      <c r="C194" s="3" t="s">
        <v>457</v>
      </c>
      <c r="D194" s="76" t="s">
        <v>414</v>
      </c>
      <c r="E194" s="77"/>
      <c r="F194" s="3" t="s">
        <v>487</v>
      </c>
      <c r="G194" s="34">
        <v>1</v>
      </c>
      <c r="H194" s="34"/>
      <c r="I194" s="35" t="s">
        <v>59</v>
      </c>
      <c r="J194" s="34">
        <f t="shared" si="28"/>
        <v>0</v>
      </c>
      <c r="K194" s="34">
        <f t="shared" si="29"/>
        <v>0</v>
      </c>
      <c r="L194" s="34">
        <f t="shared" si="30"/>
        <v>0</v>
      </c>
      <c r="M194" s="34">
        <f t="shared" si="31"/>
        <v>0</v>
      </c>
      <c r="N194" s="34">
        <v>0</v>
      </c>
      <c r="O194" s="34">
        <f t="shared" si="32"/>
        <v>0</v>
      </c>
      <c r="P194" s="36" t="s">
        <v>50</v>
      </c>
      <c r="Z194" s="34">
        <f t="shared" si="33"/>
        <v>0</v>
      </c>
      <c r="AB194" s="34">
        <f t="shared" si="34"/>
        <v>0</v>
      </c>
      <c r="AC194" s="34">
        <f t="shared" si="35"/>
        <v>0</v>
      </c>
      <c r="AD194" s="34">
        <f t="shared" si="36"/>
        <v>0</v>
      </c>
      <c r="AE194" s="34">
        <f t="shared" si="37"/>
        <v>0</v>
      </c>
      <c r="AF194" s="34">
        <f t="shared" si="38"/>
        <v>0</v>
      </c>
      <c r="AG194" s="34">
        <f t="shared" si="39"/>
        <v>0</v>
      </c>
      <c r="AH194" s="34">
        <f t="shared" si="40"/>
        <v>0</v>
      </c>
      <c r="AI194" s="11" t="s">
        <v>51</v>
      </c>
      <c r="AJ194" s="34">
        <f t="shared" si="41"/>
        <v>0</v>
      </c>
      <c r="AK194" s="34">
        <f t="shared" si="42"/>
        <v>0</v>
      </c>
      <c r="AL194" s="34">
        <f t="shared" si="43"/>
        <v>0</v>
      </c>
      <c r="AN194" s="34">
        <v>21</v>
      </c>
      <c r="AO194" s="34">
        <f t="shared" si="44"/>
        <v>0</v>
      </c>
      <c r="AP194" s="34">
        <f t="shared" si="45"/>
        <v>0</v>
      </c>
      <c r="AQ194" s="35" t="s">
        <v>55</v>
      </c>
      <c r="AV194" s="34">
        <f t="shared" si="46"/>
        <v>0</v>
      </c>
      <c r="AW194" s="34">
        <f t="shared" si="47"/>
        <v>0</v>
      </c>
      <c r="AX194" s="34">
        <f t="shared" si="48"/>
        <v>0</v>
      </c>
      <c r="AY194" s="35" t="s">
        <v>305</v>
      </c>
      <c r="AZ194" s="35" t="s">
        <v>227</v>
      </c>
      <c r="BA194" s="11" t="s">
        <v>62</v>
      </c>
      <c r="BC194" s="34">
        <f t="shared" si="49"/>
        <v>0</v>
      </c>
      <c r="BD194" s="34">
        <f t="shared" si="50"/>
        <v>0</v>
      </c>
      <c r="BE194" s="34">
        <v>0</v>
      </c>
      <c r="BF194" s="34">
        <f t="shared" si="51"/>
        <v>0</v>
      </c>
      <c r="BH194" s="34">
        <f t="shared" si="52"/>
        <v>0</v>
      </c>
      <c r="BI194" s="34">
        <f t="shared" si="53"/>
        <v>0</v>
      </c>
      <c r="BJ194" s="34">
        <f t="shared" si="54"/>
        <v>0</v>
      </c>
      <c r="BK194" s="34"/>
      <c r="BL194" s="34">
        <v>59</v>
      </c>
      <c r="BW194" s="34" t="str">
        <f t="shared" si="55"/>
        <v>21</v>
      </c>
    </row>
    <row r="195" spans="1:75" ht="13.5" customHeight="1" x14ac:dyDescent="0.25">
      <c r="A195" s="2" t="s">
        <v>458</v>
      </c>
      <c r="B195" s="3" t="s">
        <v>51</v>
      </c>
      <c r="C195" s="3" t="s">
        <v>459</v>
      </c>
      <c r="D195" s="76" t="s">
        <v>419</v>
      </c>
      <c r="E195" s="77"/>
      <c r="F195" s="3" t="s">
        <v>487</v>
      </c>
      <c r="G195" s="34">
        <v>4</v>
      </c>
      <c r="H195" s="34"/>
      <c r="I195" s="35" t="s">
        <v>59</v>
      </c>
      <c r="J195" s="34">
        <f t="shared" si="28"/>
        <v>0</v>
      </c>
      <c r="K195" s="34">
        <f t="shared" si="29"/>
        <v>0</v>
      </c>
      <c r="L195" s="34">
        <f t="shared" si="30"/>
        <v>0</v>
      </c>
      <c r="M195" s="34">
        <f t="shared" si="31"/>
        <v>0</v>
      </c>
      <c r="N195" s="34">
        <v>0</v>
      </c>
      <c r="O195" s="34">
        <f t="shared" si="32"/>
        <v>0</v>
      </c>
      <c r="P195" s="36" t="s">
        <v>50</v>
      </c>
      <c r="Z195" s="34">
        <f t="shared" si="33"/>
        <v>0</v>
      </c>
      <c r="AB195" s="34">
        <f t="shared" si="34"/>
        <v>0</v>
      </c>
      <c r="AC195" s="34">
        <f t="shared" si="35"/>
        <v>0</v>
      </c>
      <c r="AD195" s="34">
        <f t="shared" si="36"/>
        <v>0</v>
      </c>
      <c r="AE195" s="34">
        <f t="shared" si="37"/>
        <v>0</v>
      </c>
      <c r="AF195" s="34">
        <f t="shared" si="38"/>
        <v>0</v>
      </c>
      <c r="AG195" s="34">
        <f t="shared" si="39"/>
        <v>0</v>
      </c>
      <c r="AH195" s="34">
        <f t="shared" si="40"/>
        <v>0</v>
      </c>
      <c r="AI195" s="11" t="s">
        <v>51</v>
      </c>
      <c r="AJ195" s="34">
        <f t="shared" si="41"/>
        <v>0</v>
      </c>
      <c r="AK195" s="34">
        <f t="shared" si="42"/>
        <v>0</v>
      </c>
      <c r="AL195" s="34">
        <f t="shared" si="43"/>
        <v>0</v>
      </c>
      <c r="AN195" s="34">
        <v>21</v>
      </c>
      <c r="AO195" s="34">
        <f t="shared" si="44"/>
        <v>0</v>
      </c>
      <c r="AP195" s="34">
        <f t="shared" si="45"/>
        <v>0</v>
      </c>
      <c r="AQ195" s="35" t="s">
        <v>55</v>
      </c>
      <c r="AV195" s="34">
        <f t="shared" si="46"/>
        <v>0</v>
      </c>
      <c r="AW195" s="34">
        <f t="shared" si="47"/>
        <v>0</v>
      </c>
      <c r="AX195" s="34">
        <f t="shared" si="48"/>
        <v>0</v>
      </c>
      <c r="AY195" s="35" t="s">
        <v>305</v>
      </c>
      <c r="AZ195" s="35" t="s">
        <v>227</v>
      </c>
      <c r="BA195" s="11" t="s">
        <v>62</v>
      </c>
      <c r="BC195" s="34">
        <f t="shared" si="49"/>
        <v>0</v>
      </c>
      <c r="BD195" s="34">
        <f t="shared" si="50"/>
        <v>0</v>
      </c>
      <c r="BE195" s="34">
        <v>0</v>
      </c>
      <c r="BF195" s="34">
        <f t="shared" si="51"/>
        <v>0</v>
      </c>
      <c r="BH195" s="34">
        <f t="shared" si="52"/>
        <v>0</v>
      </c>
      <c r="BI195" s="34">
        <f t="shared" si="53"/>
        <v>0</v>
      </c>
      <c r="BJ195" s="34">
        <f t="shared" si="54"/>
        <v>0</v>
      </c>
      <c r="BK195" s="34"/>
      <c r="BL195" s="34">
        <v>59</v>
      </c>
      <c r="BW195" s="34" t="str">
        <f t="shared" si="55"/>
        <v>21</v>
      </c>
    </row>
    <row r="196" spans="1:75" ht="13.5" customHeight="1" x14ac:dyDescent="0.25">
      <c r="A196" s="2" t="s">
        <v>460</v>
      </c>
      <c r="B196" s="3" t="s">
        <v>51</v>
      </c>
      <c r="C196" s="3" t="s">
        <v>461</v>
      </c>
      <c r="D196" s="76" t="s">
        <v>425</v>
      </c>
      <c r="E196" s="77"/>
      <c r="F196" s="3" t="s">
        <v>487</v>
      </c>
      <c r="G196" s="34">
        <v>1</v>
      </c>
      <c r="H196" s="34"/>
      <c r="I196" s="35" t="s">
        <v>59</v>
      </c>
      <c r="J196" s="34">
        <f t="shared" si="28"/>
        <v>0</v>
      </c>
      <c r="K196" s="34">
        <f t="shared" si="29"/>
        <v>0</v>
      </c>
      <c r="L196" s="34">
        <f t="shared" si="30"/>
        <v>0</v>
      </c>
      <c r="M196" s="34">
        <f t="shared" si="31"/>
        <v>0</v>
      </c>
      <c r="N196" s="34">
        <v>0</v>
      </c>
      <c r="O196" s="34">
        <f t="shared" si="32"/>
        <v>0</v>
      </c>
      <c r="P196" s="36" t="s">
        <v>50</v>
      </c>
      <c r="Z196" s="34">
        <f t="shared" si="33"/>
        <v>0</v>
      </c>
      <c r="AB196" s="34">
        <f t="shared" si="34"/>
        <v>0</v>
      </c>
      <c r="AC196" s="34">
        <f t="shared" si="35"/>
        <v>0</v>
      </c>
      <c r="AD196" s="34">
        <f t="shared" si="36"/>
        <v>0</v>
      </c>
      <c r="AE196" s="34">
        <f t="shared" si="37"/>
        <v>0</v>
      </c>
      <c r="AF196" s="34">
        <f t="shared" si="38"/>
        <v>0</v>
      </c>
      <c r="AG196" s="34">
        <f t="shared" si="39"/>
        <v>0</v>
      </c>
      <c r="AH196" s="34">
        <f t="shared" si="40"/>
        <v>0</v>
      </c>
      <c r="AI196" s="11" t="s">
        <v>51</v>
      </c>
      <c r="AJ196" s="34">
        <f t="shared" si="41"/>
        <v>0</v>
      </c>
      <c r="AK196" s="34">
        <f t="shared" si="42"/>
        <v>0</v>
      </c>
      <c r="AL196" s="34">
        <f t="shared" si="43"/>
        <v>0</v>
      </c>
      <c r="AN196" s="34">
        <v>21</v>
      </c>
      <c r="AO196" s="34">
        <f t="shared" si="44"/>
        <v>0</v>
      </c>
      <c r="AP196" s="34">
        <f t="shared" si="45"/>
        <v>0</v>
      </c>
      <c r="AQ196" s="35" t="s">
        <v>55</v>
      </c>
      <c r="AV196" s="34">
        <f t="shared" si="46"/>
        <v>0</v>
      </c>
      <c r="AW196" s="34">
        <f t="shared" si="47"/>
        <v>0</v>
      </c>
      <c r="AX196" s="34">
        <f t="shared" si="48"/>
        <v>0</v>
      </c>
      <c r="AY196" s="35" t="s">
        <v>305</v>
      </c>
      <c r="AZ196" s="35" t="s">
        <v>227</v>
      </c>
      <c r="BA196" s="11" t="s">
        <v>62</v>
      </c>
      <c r="BC196" s="34">
        <f t="shared" si="49"/>
        <v>0</v>
      </c>
      <c r="BD196" s="34">
        <f t="shared" si="50"/>
        <v>0</v>
      </c>
      <c r="BE196" s="34">
        <v>0</v>
      </c>
      <c r="BF196" s="34">
        <f t="shared" si="51"/>
        <v>0</v>
      </c>
      <c r="BH196" s="34">
        <f t="shared" si="52"/>
        <v>0</v>
      </c>
      <c r="BI196" s="34">
        <f t="shared" si="53"/>
        <v>0</v>
      </c>
      <c r="BJ196" s="34">
        <f t="shared" si="54"/>
        <v>0</v>
      </c>
      <c r="BK196" s="34"/>
      <c r="BL196" s="34">
        <v>59</v>
      </c>
      <c r="BW196" s="34" t="str">
        <f t="shared" si="55"/>
        <v>21</v>
      </c>
    </row>
    <row r="197" spans="1:75" ht="13.5" customHeight="1" x14ac:dyDescent="0.25">
      <c r="A197" s="2" t="s">
        <v>462</v>
      </c>
      <c r="B197" s="3" t="s">
        <v>51</v>
      </c>
      <c r="C197" s="3" t="s">
        <v>463</v>
      </c>
      <c r="D197" s="76" t="s">
        <v>428</v>
      </c>
      <c r="E197" s="77"/>
      <c r="F197" s="3" t="s">
        <v>487</v>
      </c>
      <c r="G197" s="34">
        <v>1</v>
      </c>
      <c r="H197" s="34"/>
      <c r="I197" s="35" t="s">
        <v>59</v>
      </c>
      <c r="J197" s="34">
        <f t="shared" si="28"/>
        <v>0</v>
      </c>
      <c r="K197" s="34">
        <f t="shared" si="29"/>
        <v>0</v>
      </c>
      <c r="L197" s="34">
        <f t="shared" si="30"/>
        <v>0</v>
      </c>
      <c r="M197" s="34">
        <f t="shared" si="31"/>
        <v>0</v>
      </c>
      <c r="N197" s="34">
        <v>0</v>
      </c>
      <c r="O197" s="34">
        <f t="shared" si="32"/>
        <v>0</v>
      </c>
      <c r="P197" s="36" t="s">
        <v>50</v>
      </c>
      <c r="Z197" s="34">
        <f t="shared" si="33"/>
        <v>0</v>
      </c>
      <c r="AB197" s="34">
        <f t="shared" si="34"/>
        <v>0</v>
      </c>
      <c r="AC197" s="34">
        <f t="shared" si="35"/>
        <v>0</v>
      </c>
      <c r="AD197" s="34">
        <f t="shared" si="36"/>
        <v>0</v>
      </c>
      <c r="AE197" s="34">
        <f t="shared" si="37"/>
        <v>0</v>
      </c>
      <c r="AF197" s="34">
        <f t="shared" si="38"/>
        <v>0</v>
      </c>
      <c r="AG197" s="34">
        <f t="shared" si="39"/>
        <v>0</v>
      </c>
      <c r="AH197" s="34">
        <f t="shared" si="40"/>
        <v>0</v>
      </c>
      <c r="AI197" s="11" t="s">
        <v>51</v>
      </c>
      <c r="AJ197" s="34">
        <f t="shared" si="41"/>
        <v>0</v>
      </c>
      <c r="AK197" s="34">
        <f t="shared" si="42"/>
        <v>0</v>
      </c>
      <c r="AL197" s="34">
        <f t="shared" si="43"/>
        <v>0</v>
      </c>
      <c r="AN197" s="34">
        <v>21</v>
      </c>
      <c r="AO197" s="34">
        <f t="shared" si="44"/>
        <v>0</v>
      </c>
      <c r="AP197" s="34">
        <f t="shared" si="45"/>
        <v>0</v>
      </c>
      <c r="AQ197" s="35" t="s">
        <v>55</v>
      </c>
      <c r="AV197" s="34">
        <f t="shared" si="46"/>
        <v>0</v>
      </c>
      <c r="AW197" s="34">
        <f t="shared" si="47"/>
        <v>0</v>
      </c>
      <c r="AX197" s="34">
        <f t="shared" si="48"/>
        <v>0</v>
      </c>
      <c r="AY197" s="35" t="s">
        <v>305</v>
      </c>
      <c r="AZ197" s="35" t="s">
        <v>227</v>
      </c>
      <c r="BA197" s="11" t="s">
        <v>62</v>
      </c>
      <c r="BC197" s="34">
        <f t="shared" si="49"/>
        <v>0</v>
      </c>
      <c r="BD197" s="34">
        <f t="shared" si="50"/>
        <v>0</v>
      </c>
      <c r="BE197" s="34">
        <v>0</v>
      </c>
      <c r="BF197" s="34">
        <f t="shared" si="51"/>
        <v>0</v>
      </c>
      <c r="BH197" s="34">
        <f t="shared" si="52"/>
        <v>0</v>
      </c>
      <c r="BI197" s="34">
        <f t="shared" si="53"/>
        <v>0</v>
      </c>
      <c r="BJ197" s="34">
        <f t="shared" si="54"/>
        <v>0</v>
      </c>
      <c r="BK197" s="34"/>
      <c r="BL197" s="34">
        <v>59</v>
      </c>
      <c r="BW197" s="34" t="str">
        <f t="shared" si="55"/>
        <v>21</v>
      </c>
    </row>
    <row r="198" spans="1:75" ht="13.5" customHeight="1" x14ac:dyDescent="0.25">
      <c r="A198" s="2" t="s">
        <v>464</v>
      </c>
      <c r="B198" s="3" t="s">
        <v>51</v>
      </c>
      <c r="C198" s="3" t="s">
        <v>465</v>
      </c>
      <c r="D198" s="76" t="s">
        <v>431</v>
      </c>
      <c r="E198" s="77"/>
      <c r="F198" s="3" t="s">
        <v>487</v>
      </c>
      <c r="G198" s="34">
        <v>1</v>
      </c>
      <c r="H198" s="34"/>
      <c r="I198" s="35" t="s">
        <v>59</v>
      </c>
      <c r="J198" s="34">
        <f t="shared" si="28"/>
        <v>0</v>
      </c>
      <c r="K198" s="34">
        <f t="shared" si="29"/>
        <v>0</v>
      </c>
      <c r="L198" s="34">
        <f t="shared" si="30"/>
        <v>0</v>
      </c>
      <c r="M198" s="34">
        <f t="shared" si="31"/>
        <v>0</v>
      </c>
      <c r="N198" s="34">
        <v>0</v>
      </c>
      <c r="O198" s="34">
        <f t="shared" si="32"/>
        <v>0</v>
      </c>
      <c r="P198" s="36" t="s">
        <v>50</v>
      </c>
      <c r="Z198" s="34">
        <f t="shared" si="33"/>
        <v>0</v>
      </c>
      <c r="AB198" s="34">
        <f t="shared" si="34"/>
        <v>0</v>
      </c>
      <c r="AC198" s="34">
        <f t="shared" si="35"/>
        <v>0</v>
      </c>
      <c r="AD198" s="34">
        <f t="shared" si="36"/>
        <v>0</v>
      </c>
      <c r="AE198" s="34">
        <f t="shared" si="37"/>
        <v>0</v>
      </c>
      <c r="AF198" s="34">
        <f t="shared" si="38"/>
        <v>0</v>
      </c>
      <c r="AG198" s="34">
        <f t="shared" si="39"/>
        <v>0</v>
      </c>
      <c r="AH198" s="34">
        <f t="shared" si="40"/>
        <v>0</v>
      </c>
      <c r="AI198" s="11" t="s">
        <v>51</v>
      </c>
      <c r="AJ198" s="34">
        <f t="shared" si="41"/>
        <v>0</v>
      </c>
      <c r="AK198" s="34">
        <f t="shared" si="42"/>
        <v>0</v>
      </c>
      <c r="AL198" s="34">
        <f t="shared" si="43"/>
        <v>0</v>
      </c>
      <c r="AN198" s="34">
        <v>21</v>
      </c>
      <c r="AO198" s="34">
        <f t="shared" si="44"/>
        <v>0</v>
      </c>
      <c r="AP198" s="34">
        <f t="shared" si="45"/>
        <v>0</v>
      </c>
      <c r="AQ198" s="35" t="s">
        <v>55</v>
      </c>
      <c r="AV198" s="34">
        <f t="shared" si="46"/>
        <v>0</v>
      </c>
      <c r="AW198" s="34">
        <f t="shared" si="47"/>
        <v>0</v>
      </c>
      <c r="AX198" s="34">
        <f t="shared" si="48"/>
        <v>0</v>
      </c>
      <c r="AY198" s="35" t="s">
        <v>305</v>
      </c>
      <c r="AZ198" s="35" t="s">
        <v>227</v>
      </c>
      <c r="BA198" s="11" t="s">
        <v>62</v>
      </c>
      <c r="BC198" s="34">
        <f t="shared" si="49"/>
        <v>0</v>
      </c>
      <c r="BD198" s="34">
        <f t="shared" si="50"/>
        <v>0</v>
      </c>
      <c r="BE198" s="34">
        <v>0</v>
      </c>
      <c r="BF198" s="34">
        <f t="shared" si="51"/>
        <v>0</v>
      </c>
      <c r="BH198" s="34">
        <f t="shared" si="52"/>
        <v>0</v>
      </c>
      <c r="BI198" s="34">
        <f t="shared" si="53"/>
        <v>0</v>
      </c>
      <c r="BJ198" s="34">
        <f t="shared" si="54"/>
        <v>0</v>
      </c>
      <c r="BK198" s="34"/>
      <c r="BL198" s="34">
        <v>59</v>
      </c>
      <c r="BW198" s="34" t="str">
        <f t="shared" si="55"/>
        <v>21</v>
      </c>
    </row>
    <row r="199" spans="1:75" ht="13.5" customHeight="1" x14ac:dyDescent="0.25">
      <c r="A199" s="2" t="s">
        <v>466</v>
      </c>
      <c r="B199" s="3" t="s">
        <v>51</v>
      </c>
      <c r="C199" s="3" t="s">
        <v>467</v>
      </c>
      <c r="D199" s="76" t="s">
        <v>434</v>
      </c>
      <c r="E199" s="77"/>
      <c r="F199" s="3" t="s">
        <v>487</v>
      </c>
      <c r="G199" s="34">
        <v>1</v>
      </c>
      <c r="H199" s="34"/>
      <c r="I199" s="35" t="s">
        <v>59</v>
      </c>
      <c r="J199" s="34">
        <f t="shared" si="28"/>
        <v>0</v>
      </c>
      <c r="K199" s="34">
        <f t="shared" si="29"/>
        <v>0</v>
      </c>
      <c r="L199" s="34">
        <f t="shared" si="30"/>
        <v>0</v>
      </c>
      <c r="M199" s="34">
        <f t="shared" si="31"/>
        <v>0</v>
      </c>
      <c r="N199" s="34">
        <v>0</v>
      </c>
      <c r="O199" s="34">
        <f t="shared" si="32"/>
        <v>0</v>
      </c>
      <c r="P199" s="36" t="s">
        <v>50</v>
      </c>
      <c r="Z199" s="34">
        <f t="shared" si="33"/>
        <v>0</v>
      </c>
      <c r="AB199" s="34">
        <f t="shared" si="34"/>
        <v>0</v>
      </c>
      <c r="AC199" s="34">
        <f t="shared" si="35"/>
        <v>0</v>
      </c>
      <c r="AD199" s="34">
        <f t="shared" si="36"/>
        <v>0</v>
      </c>
      <c r="AE199" s="34">
        <f t="shared" si="37"/>
        <v>0</v>
      </c>
      <c r="AF199" s="34">
        <f t="shared" si="38"/>
        <v>0</v>
      </c>
      <c r="AG199" s="34">
        <f t="shared" si="39"/>
        <v>0</v>
      </c>
      <c r="AH199" s="34">
        <f t="shared" si="40"/>
        <v>0</v>
      </c>
      <c r="AI199" s="11" t="s">
        <v>51</v>
      </c>
      <c r="AJ199" s="34">
        <f t="shared" si="41"/>
        <v>0</v>
      </c>
      <c r="AK199" s="34">
        <f t="shared" si="42"/>
        <v>0</v>
      </c>
      <c r="AL199" s="34">
        <f t="shared" si="43"/>
        <v>0</v>
      </c>
      <c r="AN199" s="34">
        <v>21</v>
      </c>
      <c r="AO199" s="34">
        <f t="shared" si="44"/>
        <v>0</v>
      </c>
      <c r="AP199" s="34">
        <f t="shared" si="45"/>
        <v>0</v>
      </c>
      <c r="AQ199" s="35" t="s">
        <v>55</v>
      </c>
      <c r="AV199" s="34">
        <f t="shared" si="46"/>
        <v>0</v>
      </c>
      <c r="AW199" s="34">
        <f t="shared" si="47"/>
        <v>0</v>
      </c>
      <c r="AX199" s="34">
        <f t="shared" si="48"/>
        <v>0</v>
      </c>
      <c r="AY199" s="35" t="s">
        <v>305</v>
      </c>
      <c r="AZ199" s="35" t="s">
        <v>227</v>
      </c>
      <c r="BA199" s="11" t="s">
        <v>62</v>
      </c>
      <c r="BC199" s="34">
        <f t="shared" si="49"/>
        <v>0</v>
      </c>
      <c r="BD199" s="34">
        <f t="shared" si="50"/>
        <v>0</v>
      </c>
      <c r="BE199" s="34">
        <v>0</v>
      </c>
      <c r="BF199" s="34">
        <f t="shared" si="51"/>
        <v>0</v>
      </c>
      <c r="BH199" s="34">
        <f t="shared" si="52"/>
        <v>0</v>
      </c>
      <c r="BI199" s="34">
        <f t="shared" si="53"/>
        <v>0</v>
      </c>
      <c r="BJ199" s="34">
        <f t="shared" si="54"/>
        <v>0</v>
      </c>
      <c r="BK199" s="34"/>
      <c r="BL199" s="34">
        <v>59</v>
      </c>
      <c r="BW199" s="34" t="str">
        <f t="shared" si="55"/>
        <v>21</v>
      </c>
    </row>
    <row r="200" spans="1:75" ht="13.5" customHeight="1" x14ac:dyDescent="0.25">
      <c r="A200" s="2" t="s">
        <v>468</v>
      </c>
      <c r="B200" s="3" t="s">
        <v>51</v>
      </c>
      <c r="C200" s="3" t="s">
        <v>469</v>
      </c>
      <c r="D200" s="76" t="s">
        <v>437</v>
      </c>
      <c r="E200" s="77"/>
      <c r="F200" s="3" t="s">
        <v>487</v>
      </c>
      <c r="G200" s="34">
        <v>1</v>
      </c>
      <c r="H200" s="34"/>
      <c r="I200" s="35" t="s">
        <v>59</v>
      </c>
      <c r="J200" s="34">
        <f t="shared" si="28"/>
        <v>0</v>
      </c>
      <c r="K200" s="34">
        <f t="shared" si="29"/>
        <v>0</v>
      </c>
      <c r="L200" s="34">
        <f t="shared" si="30"/>
        <v>0</v>
      </c>
      <c r="M200" s="34">
        <f t="shared" si="31"/>
        <v>0</v>
      </c>
      <c r="N200" s="34">
        <v>0</v>
      </c>
      <c r="O200" s="34">
        <f t="shared" si="32"/>
        <v>0</v>
      </c>
      <c r="P200" s="36" t="s">
        <v>50</v>
      </c>
      <c r="Z200" s="34">
        <f t="shared" si="33"/>
        <v>0</v>
      </c>
      <c r="AB200" s="34">
        <f t="shared" si="34"/>
        <v>0</v>
      </c>
      <c r="AC200" s="34">
        <f t="shared" si="35"/>
        <v>0</v>
      </c>
      <c r="AD200" s="34">
        <f t="shared" si="36"/>
        <v>0</v>
      </c>
      <c r="AE200" s="34">
        <f t="shared" si="37"/>
        <v>0</v>
      </c>
      <c r="AF200" s="34">
        <f t="shared" si="38"/>
        <v>0</v>
      </c>
      <c r="AG200" s="34">
        <f t="shared" si="39"/>
        <v>0</v>
      </c>
      <c r="AH200" s="34">
        <f t="shared" si="40"/>
        <v>0</v>
      </c>
      <c r="AI200" s="11" t="s">
        <v>51</v>
      </c>
      <c r="AJ200" s="34">
        <f t="shared" si="41"/>
        <v>0</v>
      </c>
      <c r="AK200" s="34">
        <f t="shared" si="42"/>
        <v>0</v>
      </c>
      <c r="AL200" s="34">
        <f t="shared" si="43"/>
        <v>0</v>
      </c>
      <c r="AN200" s="34">
        <v>21</v>
      </c>
      <c r="AO200" s="34">
        <f t="shared" si="44"/>
        <v>0</v>
      </c>
      <c r="AP200" s="34">
        <f t="shared" si="45"/>
        <v>0</v>
      </c>
      <c r="AQ200" s="35" t="s">
        <v>55</v>
      </c>
      <c r="AV200" s="34">
        <f t="shared" si="46"/>
        <v>0</v>
      </c>
      <c r="AW200" s="34">
        <f t="shared" si="47"/>
        <v>0</v>
      </c>
      <c r="AX200" s="34">
        <f t="shared" si="48"/>
        <v>0</v>
      </c>
      <c r="AY200" s="35" t="s">
        <v>305</v>
      </c>
      <c r="AZ200" s="35" t="s">
        <v>227</v>
      </c>
      <c r="BA200" s="11" t="s">
        <v>62</v>
      </c>
      <c r="BC200" s="34">
        <f t="shared" si="49"/>
        <v>0</v>
      </c>
      <c r="BD200" s="34">
        <f t="shared" si="50"/>
        <v>0</v>
      </c>
      <c r="BE200" s="34">
        <v>0</v>
      </c>
      <c r="BF200" s="34">
        <f t="shared" si="51"/>
        <v>0</v>
      </c>
      <c r="BH200" s="34">
        <f t="shared" si="52"/>
        <v>0</v>
      </c>
      <c r="BI200" s="34">
        <f t="shared" si="53"/>
        <v>0</v>
      </c>
      <c r="BJ200" s="34">
        <f t="shared" si="54"/>
        <v>0</v>
      </c>
      <c r="BK200" s="34"/>
      <c r="BL200" s="34">
        <v>59</v>
      </c>
      <c r="BW200" s="34" t="str">
        <f t="shared" si="55"/>
        <v>21</v>
      </c>
    </row>
    <row r="201" spans="1:75" ht="13.5" customHeight="1" x14ac:dyDescent="0.25">
      <c r="A201" s="2" t="s">
        <v>470</v>
      </c>
      <c r="B201" s="3" t="s">
        <v>51</v>
      </c>
      <c r="C201" s="3" t="s">
        <v>471</v>
      </c>
      <c r="D201" s="76" t="s">
        <v>381</v>
      </c>
      <c r="E201" s="77"/>
      <c r="F201" s="3" t="s">
        <v>487</v>
      </c>
      <c r="G201" s="34">
        <v>1</v>
      </c>
      <c r="H201" s="34"/>
      <c r="I201" s="35" t="s">
        <v>59</v>
      </c>
      <c r="J201" s="34">
        <f t="shared" si="28"/>
        <v>0</v>
      </c>
      <c r="K201" s="34">
        <f t="shared" si="29"/>
        <v>0</v>
      </c>
      <c r="L201" s="34">
        <f t="shared" si="30"/>
        <v>0</v>
      </c>
      <c r="M201" s="34">
        <f t="shared" si="31"/>
        <v>0</v>
      </c>
      <c r="N201" s="34">
        <v>0</v>
      </c>
      <c r="O201" s="34">
        <f t="shared" si="32"/>
        <v>0</v>
      </c>
      <c r="P201" s="36" t="s">
        <v>50</v>
      </c>
      <c r="Z201" s="34">
        <f t="shared" si="33"/>
        <v>0</v>
      </c>
      <c r="AB201" s="34">
        <f t="shared" si="34"/>
        <v>0</v>
      </c>
      <c r="AC201" s="34">
        <f t="shared" si="35"/>
        <v>0</v>
      </c>
      <c r="AD201" s="34">
        <f t="shared" si="36"/>
        <v>0</v>
      </c>
      <c r="AE201" s="34">
        <f t="shared" si="37"/>
        <v>0</v>
      </c>
      <c r="AF201" s="34">
        <f t="shared" si="38"/>
        <v>0</v>
      </c>
      <c r="AG201" s="34">
        <f t="shared" si="39"/>
        <v>0</v>
      </c>
      <c r="AH201" s="34">
        <f t="shared" si="40"/>
        <v>0</v>
      </c>
      <c r="AI201" s="11" t="s">
        <v>51</v>
      </c>
      <c r="AJ201" s="34">
        <f t="shared" si="41"/>
        <v>0</v>
      </c>
      <c r="AK201" s="34">
        <f t="shared" si="42"/>
        <v>0</v>
      </c>
      <c r="AL201" s="34">
        <f t="shared" si="43"/>
        <v>0</v>
      </c>
      <c r="AN201" s="34">
        <v>21</v>
      </c>
      <c r="AO201" s="34">
        <f t="shared" si="44"/>
        <v>0</v>
      </c>
      <c r="AP201" s="34">
        <f t="shared" si="45"/>
        <v>0</v>
      </c>
      <c r="AQ201" s="35" t="s">
        <v>55</v>
      </c>
      <c r="AV201" s="34">
        <f t="shared" si="46"/>
        <v>0</v>
      </c>
      <c r="AW201" s="34">
        <f t="shared" si="47"/>
        <v>0</v>
      </c>
      <c r="AX201" s="34">
        <f t="shared" si="48"/>
        <v>0</v>
      </c>
      <c r="AY201" s="35" t="s">
        <v>305</v>
      </c>
      <c r="AZ201" s="35" t="s">
        <v>227</v>
      </c>
      <c r="BA201" s="11" t="s">
        <v>62</v>
      </c>
      <c r="BC201" s="34">
        <f t="shared" si="49"/>
        <v>0</v>
      </c>
      <c r="BD201" s="34">
        <f t="shared" si="50"/>
        <v>0</v>
      </c>
      <c r="BE201" s="34">
        <v>0</v>
      </c>
      <c r="BF201" s="34">
        <f t="shared" si="51"/>
        <v>0</v>
      </c>
      <c r="BH201" s="34">
        <f t="shared" si="52"/>
        <v>0</v>
      </c>
      <c r="BI201" s="34">
        <f t="shared" si="53"/>
        <v>0</v>
      </c>
      <c r="BJ201" s="34">
        <f t="shared" si="54"/>
        <v>0</v>
      </c>
      <c r="BK201" s="34"/>
      <c r="BL201" s="34">
        <v>59</v>
      </c>
      <c r="BW201" s="34" t="str">
        <f t="shared" si="55"/>
        <v>21</v>
      </c>
    </row>
    <row r="202" spans="1:75" ht="13.5" customHeight="1" x14ac:dyDescent="0.25">
      <c r="A202" s="2" t="s">
        <v>472</v>
      </c>
      <c r="B202" s="3" t="s">
        <v>51</v>
      </c>
      <c r="C202" s="3" t="s">
        <v>473</v>
      </c>
      <c r="D202" s="76" t="s">
        <v>474</v>
      </c>
      <c r="E202" s="77"/>
      <c r="F202" s="3" t="s">
        <v>115</v>
      </c>
      <c r="G202" s="34">
        <v>3</v>
      </c>
      <c r="H202" s="34"/>
      <c r="I202" s="35" t="s">
        <v>59</v>
      </c>
      <c r="J202" s="34">
        <f t="shared" si="28"/>
        <v>0</v>
      </c>
      <c r="K202" s="34">
        <f t="shared" si="29"/>
        <v>0</v>
      </c>
      <c r="L202" s="34">
        <f t="shared" si="30"/>
        <v>0</v>
      </c>
      <c r="M202" s="34">
        <f t="shared" si="31"/>
        <v>0</v>
      </c>
      <c r="N202" s="34">
        <v>0.2843</v>
      </c>
      <c r="O202" s="34">
        <f t="shared" si="32"/>
        <v>0.85289999999999999</v>
      </c>
      <c r="P202" s="36" t="s">
        <v>50</v>
      </c>
      <c r="Z202" s="34">
        <f t="shared" si="33"/>
        <v>0</v>
      </c>
      <c r="AB202" s="34">
        <f t="shared" si="34"/>
        <v>0</v>
      </c>
      <c r="AC202" s="34">
        <f t="shared" si="35"/>
        <v>0</v>
      </c>
      <c r="AD202" s="34">
        <f t="shared" si="36"/>
        <v>0</v>
      </c>
      <c r="AE202" s="34">
        <f t="shared" si="37"/>
        <v>0</v>
      </c>
      <c r="AF202" s="34">
        <f t="shared" si="38"/>
        <v>0</v>
      </c>
      <c r="AG202" s="34">
        <f t="shared" si="39"/>
        <v>0</v>
      </c>
      <c r="AH202" s="34">
        <f t="shared" si="40"/>
        <v>0</v>
      </c>
      <c r="AI202" s="11" t="s">
        <v>51</v>
      </c>
      <c r="AJ202" s="34">
        <f t="shared" si="41"/>
        <v>0</v>
      </c>
      <c r="AK202" s="34">
        <f t="shared" si="42"/>
        <v>0</v>
      </c>
      <c r="AL202" s="34">
        <f t="shared" si="43"/>
        <v>0</v>
      </c>
      <c r="AN202" s="34">
        <v>21</v>
      </c>
      <c r="AO202" s="34">
        <f t="shared" si="44"/>
        <v>0</v>
      </c>
      <c r="AP202" s="34">
        <f t="shared" si="45"/>
        <v>0</v>
      </c>
      <c r="AQ202" s="35" t="s">
        <v>55</v>
      </c>
      <c r="AV202" s="34">
        <f t="shared" si="46"/>
        <v>0</v>
      </c>
      <c r="AW202" s="34">
        <f t="shared" si="47"/>
        <v>0</v>
      </c>
      <c r="AX202" s="34">
        <f t="shared" si="48"/>
        <v>0</v>
      </c>
      <c r="AY202" s="35" t="s">
        <v>305</v>
      </c>
      <c r="AZ202" s="35" t="s">
        <v>227</v>
      </c>
      <c r="BA202" s="11" t="s">
        <v>62</v>
      </c>
      <c r="BC202" s="34">
        <f t="shared" si="49"/>
        <v>0</v>
      </c>
      <c r="BD202" s="34">
        <f t="shared" si="50"/>
        <v>0</v>
      </c>
      <c r="BE202" s="34">
        <v>0</v>
      </c>
      <c r="BF202" s="34">
        <f t="shared" si="51"/>
        <v>0.85289999999999999</v>
      </c>
      <c r="BH202" s="34">
        <f t="shared" si="52"/>
        <v>0</v>
      </c>
      <c r="BI202" s="34">
        <f t="shared" si="53"/>
        <v>0</v>
      </c>
      <c r="BJ202" s="34">
        <f t="shared" si="54"/>
        <v>0</v>
      </c>
      <c r="BK202" s="34"/>
      <c r="BL202" s="34">
        <v>59</v>
      </c>
      <c r="BW202" s="34" t="str">
        <f t="shared" si="55"/>
        <v>21</v>
      </c>
    </row>
    <row r="203" spans="1:75" ht="13.5" customHeight="1" x14ac:dyDescent="0.25">
      <c r="A203" s="2" t="s">
        <v>475</v>
      </c>
      <c r="B203" s="3" t="s">
        <v>51</v>
      </c>
      <c r="C203" s="3" t="s">
        <v>476</v>
      </c>
      <c r="D203" s="76" t="s">
        <v>445</v>
      </c>
      <c r="E203" s="77"/>
      <c r="F203" s="3" t="s">
        <v>487</v>
      </c>
      <c r="G203" s="34">
        <v>3</v>
      </c>
      <c r="H203" s="34"/>
      <c r="I203" s="35" t="s">
        <v>59</v>
      </c>
      <c r="J203" s="34">
        <f t="shared" si="28"/>
        <v>0</v>
      </c>
      <c r="K203" s="34">
        <f t="shared" si="29"/>
        <v>0</v>
      </c>
      <c r="L203" s="34">
        <f t="shared" si="30"/>
        <v>0</v>
      </c>
      <c r="M203" s="34">
        <f t="shared" si="31"/>
        <v>0</v>
      </c>
      <c r="N203" s="34">
        <v>0</v>
      </c>
      <c r="O203" s="34">
        <f t="shared" si="32"/>
        <v>0</v>
      </c>
      <c r="P203" s="36" t="s">
        <v>50</v>
      </c>
      <c r="Z203" s="34">
        <f t="shared" si="33"/>
        <v>0</v>
      </c>
      <c r="AB203" s="34">
        <f t="shared" si="34"/>
        <v>0</v>
      </c>
      <c r="AC203" s="34">
        <f t="shared" si="35"/>
        <v>0</v>
      </c>
      <c r="AD203" s="34">
        <f t="shared" si="36"/>
        <v>0</v>
      </c>
      <c r="AE203" s="34">
        <f t="shared" si="37"/>
        <v>0</v>
      </c>
      <c r="AF203" s="34">
        <f t="shared" si="38"/>
        <v>0</v>
      </c>
      <c r="AG203" s="34">
        <f t="shared" si="39"/>
        <v>0</v>
      </c>
      <c r="AH203" s="34">
        <f t="shared" si="40"/>
        <v>0</v>
      </c>
      <c r="AI203" s="11" t="s">
        <v>51</v>
      </c>
      <c r="AJ203" s="34">
        <f t="shared" si="41"/>
        <v>0</v>
      </c>
      <c r="AK203" s="34">
        <f t="shared" si="42"/>
        <v>0</v>
      </c>
      <c r="AL203" s="34">
        <f t="shared" si="43"/>
        <v>0</v>
      </c>
      <c r="AN203" s="34">
        <v>21</v>
      </c>
      <c r="AO203" s="34">
        <f t="shared" si="44"/>
        <v>0</v>
      </c>
      <c r="AP203" s="34">
        <f t="shared" si="45"/>
        <v>0</v>
      </c>
      <c r="AQ203" s="35" t="s">
        <v>55</v>
      </c>
      <c r="AV203" s="34">
        <f t="shared" si="46"/>
        <v>0</v>
      </c>
      <c r="AW203" s="34">
        <f t="shared" si="47"/>
        <v>0</v>
      </c>
      <c r="AX203" s="34">
        <f t="shared" si="48"/>
        <v>0</v>
      </c>
      <c r="AY203" s="35" t="s">
        <v>305</v>
      </c>
      <c r="AZ203" s="35" t="s">
        <v>227</v>
      </c>
      <c r="BA203" s="11" t="s">
        <v>62</v>
      </c>
      <c r="BC203" s="34">
        <f t="shared" si="49"/>
        <v>0</v>
      </c>
      <c r="BD203" s="34">
        <f t="shared" si="50"/>
        <v>0</v>
      </c>
      <c r="BE203" s="34">
        <v>0</v>
      </c>
      <c r="BF203" s="34">
        <f t="shared" si="51"/>
        <v>0</v>
      </c>
      <c r="BH203" s="34">
        <f t="shared" si="52"/>
        <v>0</v>
      </c>
      <c r="BI203" s="34">
        <f t="shared" si="53"/>
        <v>0</v>
      </c>
      <c r="BJ203" s="34">
        <f t="shared" si="54"/>
        <v>0</v>
      </c>
      <c r="BK203" s="34"/>
      <c r="BL203" s="34">
        <v>59</v>
      </c>
      <c r="BW203" s="34" t="str">
        <f t="shared" si="55"/>
        <v>21</v>
      </c>
    </row>
    <row r="204" spans="1:75" ht="13.5" customHeight="1" x14ac:dyDescent="0.25">
      <c r="A204" s="2" t="s">
        <v>477</v>
      </c>
      <c r="B204" s="3" t="s">
        <v>51</v>
      </c>
      <c r="C204" s="3" t="s">
        <v>478</v>
      </c>
      <c r="D204" s="76" t="s">
        <v>372</v>
      </c>
      <c r="E204" s="77"/>
      <c r="F204" s="3" t="s">
        <v>487</v>
      </c>
      <c r="G204" s="34">
        <v>1</v>
      </c>
      <c r="H204" s="34"/>
      <c r="I204" s="35" t="s">
        <v>59</v>
      </c>
      <c r="J204" s="34">
        <f t="shared" si="28"/>
        <v>0</v>
      </c>
      <c r="K204" s="34">
        <f t="shared" si="29"/>
        <v>0</v>
      </c>
      <c r="L204" s="34">
        <f t="shared" si="30"/>
        <v>0</v>
      </c>
      <c r="M204" s="34">
        <f t="shared" si="31"/>
        <v>0</v>
      </c>
      <c r="N204" s="34">
        <v>0</v>
      </c>
      <c r="O204" s="34">
        <f t="shared" si="32"/>
        <v>0</v>
      </c>
      <c r="P204" s="36" t="s">
        <v>50</v>
      </c>
      <c r="Z204" s="34">
        <f t="shared" si="33"/>
        <v>0</v>
      </c>
      <c r="AB204" s="34">
        <f t="shared" si="34"/>
        <v>0</v>
      </c>
      <c r="AC204" s="34">
        <f t="shared" si="35"/>
        <v>0</v>
      </c>
      <c r="AD204" s="34">
        <f t="shared" si="36"/>
        <v>0</v>
      </c>
      <c r="AE204" s="34">
        <f t="shared" si="37"/>
        <v>0</v>
      </c>
      <c r="AF204" s="34">
        <f t="shared" si="38"/>
        <v>0</v>
      </c>
      <c r="AG204" s="34">
        <f t="shared" si="39"/>
        <v>0</v>
      </c>
      <c r="AH204" s="34">
        <f t="shared" si="40"/>
        <v>0</v>
      </c>
      <c r="AI204" s="11" t="s">
        <v>51</v>
      </c>
      <c r="AJ204" s="34">
        <f t="shared" si="41"/>
        <v>0</v>
      </c>
      <c r="AK204" s="34">
        <f t="shared" si="42"/>
        <v>0</v>
      </c>
      <c r="AL204" s="34">
        <f t="shared" si="43"/>
        <v>0</v>
      </c>
      <c r="AN204" s="34">
        <v>21</v>
      </c>
      <c r="AO204" s="34">
        <f t="shared" si="44"/>
        <v>0</v>
      </c>
      <c r="AP204" s="34">
        <f t="shared" si="45"/>
        <v>0</v>
      </c>
      <c r="AQ204" s="35" t="s">
        <v>55</v>
      </c>
      <c r="AV204" s="34">
        <f t="shared" si="46"/>
        <v>0</v>
      </c>
      <c r="AW204" s="34">
        <f t="shared" si="47"/>
        <v>0</v>
      </c>
      <c r="AX204" s="34">
        <f t="shared" si="48"/>
        <v>0</v>
      </c>
      <c r="AY204" s="35" t="s">
        <v>305</v>
      </c>
      <c r="AZ204" s="35" t="s">
        <v>227</v>
      </c>
      <c r="BA204" s="11" t="s">
        <v>62</v>
      </c>
      <c r="BC204" s="34">
        <f t="shared" si="49"/>
        <v>0</v>
      </c>
      <c r="BD204" s="34">
        <f t="shared" si="50"/>
        <v>0</v>
      </c>
      <c r="BE204" s="34">
        <v>0</v>
      </c>
      <c r="BF204" s="34">
        <f t="shared" si="51"/>
        <v>0</v>
      </c>
      <c r="BH204" s="34">
        <f t="shared" si="52"/>
        <v>0</v>
      </c>
      <c r="BI204" s="34">
        <f t="shared" si="53"/>
        <v>0</v>
      </c>
      <c r="BJ204" s="34">
        <f t="shared" si="54"/>
        <v>0</v>
      </c>
      <c r="BK204" s="34"/>
      <c r="BL204" s="34">
        <v>59</v>
      </c>
      <c r="BW204" s="34" t="str">
        <f t="shared" si="55"/>
        <v>21</v>
      </c>
    </row>
    <row r="205" spans="1:75" ht="13.5" customHeight="1" x14ac:dyDescent="0.25">
      <c r="A205" s="2" t="s">
        <v>479</v>
      </c>
      <c r="B205" s="3" t="s">
        <v>51</v>
      </c>
      <c r="C205" s="3" t="s">
        <v>480</v>
      </c>
      <c r="D205" s="76" t="s">
        <v>375</v>
      </c>
      <c r="E205" s="77"/>
      <c r="F205" s="3" t="s">
        <v>487</v>
      </c>
      <c r="G205" s="34">
        <v>1</v>
      </c>
      <c r="H205" s="34"/>
      <c r="I205" s="35" t="s">
        <v>59</v>
      </c>
      <c r="J205" s="34">
        <f t="shared" si="28"/>
        <v>0</v>
      </c>
      <c r="K205" s="34">
        <f t="shared" si="29"/>
        <v>0</v>
      </c>
      <c r="L205" s="34">
        <f t="shared" si="30"/>
        <v>0</v>
      </c>
      <c r="M205" s="34">
        <f t="shared" si="31"/>
        <v>0</v>
      </c>
      <c r="N205" s="34">
        <v>0</v>
      </c>
      <c r="O205" s="34">
        <f t="shared" si="32"/>
        <v>0</v>
      </c>
      <c r="P205" s="36" t="s">
        <v>50</v>
      </c>
      <c r="Z205" s="34">
        <f t="shared" si="33"/>
        <v>0</v>
      </c>
      <c r="AB205" s="34">
        <f t="shared" si="34"/>
        <v>0</v>
      </c>
      <c r="AC205" s="34">
        <f t="shared" si="35"/>
        <v>0</v>
      </c>
      <c r="AD205" s="34">
        <f t="shared" si="36"/>
        <v>0</v>
      </c>
      <c r="AE205" s="34">
        <f t="shared" si="37"/>
        <v>0</v>
      </c>
      <c r="AF205" s="34">
        <f t="shared" si="38"/>
        <v>0</v>
      </c>
      <c r="AG205" s="34">
        <f t="shared" si="39"/>
        <v>0</v>
      </c>
      <c r="AH205" s="34">
        <f t="shared" si="40"/>
        <v>0</v>
      </c>
      <c r="AI205" s="11" t="s">
        <v>51</v>
      </c>
      <c r="AJ205" s="34">
        <f t="shared" si="41"/>
        <v>0</v>
      </c>
      <c r="AK205" s="34">
        <f t="shared" si="42"/>
        <v>0</v>
      </c>
      <c r="AL205" s="34">
        <f t="shared" si="43"/>
        <v>0</v>
      </c>
      <c r="AN205" s="34">
        <v>21</v>
      </c>
      <c r="AO205" s="34">
        <f t="shared" si="44"/>
        <v>0</v>
      </c>
      <c r="AP205" s="34">
        <f t="shared" si="45"/>
        <v>0</v>
      </c>
      <c r="AQ205" s="35" t="s">
        <v>55</v>
      </c>
      <c r="AV205" s="34">
        <f t="shared" si="46"/>
        <v>0</v>
      </c>
      <c r="AW205" s="34">
        <f t="shared" si="47"/>
        <v>0</v>
      </c>
      <c r="AX205" s="34">
        <f t="shared" si="48"/>
        <v>0</v>
      </c>
      <c r="AY205" s="35" t="s">
        <v>305</v>
      </c>
      <c r="AZ205" s="35" t="s">
        <v>227</v>
      </c>
      <c r="BA205" s="11" t="s">
        <v>62</v>
      </c>
      <c r="BC205" s="34">
        <f t="shared" si="49"/>
        <v>0</v>
      </c>
      <c r="BD205" s="34">
        <f t="shared" si="50"/>
        <v>0</v>
      </c>
      <c r="BE205" s="34">
        <v>0</v>
      </c>
      <c r="BF205" s="34">
        <f t="shared" si="51"/>
        <v>0</v>
      </c>
      <c r="BH205" s="34">
        <f t="shared" si="52"/>
        <v>0</v>
      </c>
      <c r="BI205" s="34">
        <f t="shared" si="53"/>
        <v>0</v>
      </c>
      <c r="BJ205" s="34">
        <f t="shared" si="54"/>
        <v>0</v>
      </c>
      <c r="BK205" s="34"/>
      <c r="BL205" s="34">
        <v>59</v>
      </c>
      <c r="BW205" s="34" t="str">
        <f t="shared" si="55"/>
        <v>21</v>
      </c>
    </row>
    <row r="206" spans="1:75" ht="13.5" customHeight="1" x14ac:dyDescent="0.25">
      <c r="A206" s="2" t="s">
        <v>481</v>
      </c>
      <c r="B206" s="3" t="s">
        <v>51</v>
      </c>
      <c r="C206" s="3" t="s">
        <v>482</v>
      </c>
      <c r="D206" s="76" t="s">
        <v>381</v>
      </c>
      <c r="E206" s="77"/>
      <c r="F206" s="3" t="s">
        <v>487</v>
      </c>
      <c r="G206" s="34">
        <v>2</v>
      </c>
      <c r="H206" s="34"/>
      <c r="I206" s="35" t="s">
        <v>59</v>
      </c>
      <c r="J206" s="34">
        <f t="shared" si="28"/>
        <v>0</v>
      </c>
      <c r="K206" s="34">
        <f t="shared" si="29"/>
        <v>0</v>
      </c>
      <c r="L206" s="34">
        <f t="shared" si="30"/>
        <v>0</v>
      </c>
      <c r="M206" s="34">
        <f t="shared" si="31"/>
        <v>0</v>
      </c>
      <c r="N206" s="34">
        <v>0</v>
      </c>
      <c r="O206" s="34">
        <f t="shared" si="32"/>
        <v>0</v>
      </c>
      <c r="P206" s="36" t="s">
        <v>50</v>
      </c>
      <c r="Z206" s="34">
        <f t="shared" si="33"/>
        <v>0</v>
      </c>
      <c r="AB206" s="34">
        <f t="shared" si="34"/>
        <v>0</v>
      </c>
      <c r="AC206" s="34">
        <f t="shared" si="35"/>
        <v>0</v>
      </c>
      <c r="AD206" s="34">
        <f t="shared" si="36"/>
        <v>0</v>
      </c>
      <c r="AE206" s="34">
        <f t="shared" si="37"/>
        <v>0</v>
      </c>
      <c r="AF206" s="34">
        <f t="shared" si="38"/>
        <v>0</v>
      </c>
      <c r="AG206" s="34">
        <f t="shared" si="39"/>
        <v>0</v>
      </c>
      <c r="AH206" s="34">
        <f t="shared" si="40"/>
        <v>0</v>
      </c>
      <c r="AI206" s="11" t="s">
        <v>51</v>
      </c>
      <c r="AJ206" s="34">
        <f t="shared" si="41"/>
        <v>0</v>
      </c>
      <c r="AK206" s="34">
        <f t="shared" si="42"/>
        <v>0</v>
      </c>
      <c r="AL206" s="34">
        <f t="shared" si="43"/>
        <v>0</v>
      </c>
      <c r="AN206" s="34">
        <v>21</v>
      </c>
      <c r="AO206" s="34">
        <f t="shared" si="44"/>
        <v>0</v>
      </c>
      <c r="AP206" s="34">
        <f t="shared" si="45"/>
        <v>0</v>
      </c>
      <c r="AQ206" s="35" t="s">
        <v>55</v>
      </c>
      <c r="AV206" s="34">
        <f t="shared" si="46"/>
        <v>0</v>
      </c>
      <c r="AW206" s="34">
        <f t="shared" si="47"/>
        <v>0</v>
      </c>
      <c r="AX206" s="34">
        <f t="shared" si="48"/>
        <v>0</v>
      </c>
      <c r="AY206" s="35" t="s">
        <v>305</v>
      </c>
      <c r="AZ206" s="35" t="s">
        <v>227</v>
      </c>
      <c r="BA206" s="11" t="s">
        <v>62</v>
      </c>
      <c r="BC206" s="34">
        <f t="shared" si="49"/>
        <v>0</v>
      </c>
      <c r="BD206" s="34">
        <f t="shared" si="50"/>
        <v>0</v>
      </c>
      <c r="BE206" s="34">
        <v>0</v>
      </c>
      <c r="BF206" s="34">
        <f t="shared" si="51"/>
        <v>0</v>
      </c>
      <c r="BH206" s="34">
        <f t="shared" si="52"/>
        <v>0</v>
      </c>
      <c r="BI206" s="34">
        <f t="shared" si="53"/>
        <v>0</v>
      </c>
      <c r="BJ206" s="34">
        <f t="shared" si="54"/>
        <v>0</v>
      </c>
      <c r="BK206" s="34"/>
      <c r="BL206" s="34">
        <v>59</v>
      </c>
      <c r="BW206" s="34" t="str">
        <f t="shared" si="55"/>
        <v>21</v>
      </c>
    </row>
    <row r="207" spans="1:75" x14ac:dyDescent="0.25">
      <c r="A207" s="30" t="s">
        <v>50</v>
      </c>
      <c r="B207" s="31" t="s">
        <v>51</v>
      </c>
      <c r="C207" s="31" t="s">
        <v>448</v>
      </c>
      <c r="D207" s="130" t="s">
        <v>483</v>
      </c>
      <c r="E207" s="131"/>
      <c r="F207" s="32" t="s">
        <v>3</v>
      </c>
      <c r="G207" s="32" t="s">
        <v>3</v>
      </c>
      <c r="H207" s="32" t="s">
        <v>3</v>
      </c>
      <c r="I207" s="32" t="s">
        <v>3</v>
      </c>
      <c r="J207" s="1">
        <f>SUM(J208:J223)</f>
        <v>0</v>
      </c>
      <c r="K207" s="1">
        <f>SUM(K208:K223)</f>
        <v>0</v>
      </c>
      <c r="L207" s="1">
        <f>SUM(L208:L223)</f>
        <v>0</v>
      </c>
      <c r="M207" s="1">
        <f>SUM(M208:M223)</f>
        <v>0</v>
      </c>
      <c r="N207" s="11" t="s">
        <v>50</v>
      </c>
      <c r="O207" s="1">
        <f>SUM(O208:O223)</f>
        <v>0.57039999999999991</v>
      </c>
      <c r="P207" s="33" t="s">
        <v>50</v>
      </c>
      <c r="AI207" s="11" t="s">
        <v>51</v>
      </c>
      <c r="AS207" s="1">
        <f>SUM(AJ208:AJ223)</f>
        <v>0</v>
      </c>
      <c r="AT207" s="1">
        <f>SUM(AK208:AK223)</f>
        <v>0</v>
      </c>
      <c r="AU207" s="1">
        <f>SUM(AL208:AL223)</f>
        <v>0</v>
      </c>
    </row>
    <row r="208" spans="1:75" ht="13.5" customHeight="1" x14ac:dyDescent="0.25">
      <c r="A208" s="2" t="s">
        <v>484</v>
      </c>
      <c r="B208" s="3" t="s">
        <v>51</v>
      </c>
      <c r="C208" s="3" t="s">
        <v>485</v>
      </c>
      <c r="D208" s="76" t="s">
        <v>486</v>
      </c>
      <c r="E208" s="77"/>
      <c r="F208" s="3" t="s">
        <v>487</v>
      </c>
      <c r="G208" s="34">
        <v>1</v>
      </c>
      <c r="H208" s="34"/>
      <c r="I208" s="35" t="s">
        <v>59</v>
      </c>
      <c r="J208" s="34">
        <f>G208*AO208</f>
        <v>0</v>
      </c>
      <c r="K208" s="34">
        <f>G208*AP208</f>
        <v>0</v>
      </c>
      <c r="L208" s="34">
        <f>G208*H208</f>
        <v>0</v>
      </c>
      <c r="M208" s="34">
        <f>L208*(1+BW208/100)</f>
        <v>0</v>
      </c>
      <c r="N208" s="34">
        <v>0.31590000000000001</v>
      </c>
      <c r="O208" s="34">
        <f>G208*N208</f>
        <v>0.31590000000000001</v>
      </c>
      <c r="P208" s="36" t="s">
        <v>779</v>
      </c>
      <c r="Z208" s="34">
        <f>IF(AQ208="5",BJ208,0)</f>
        <v>0</v>
      </c>
      <c r="AB208" s="34">
        <f>IF(AQ208="1",BH208,0)</f>
        <v>0</v>
      </c>
      <c r="AC208" s="34">
        <f>IF(AQ208="1",BI208,0)</f>
        <v>0</v>
      </c>
      <c r="AD208" s="34">
        <f>IF(AQ208="7",BH208,0)</f>
        <v>0</v>
      </c>
      <c r="AE208" s="34">
        <f>IF(AQ208="7",BI208,0)</f>
        <v>0</v>
      </c>
      <c r="AF208" s="34">
        <f>IF(AQ208="2",BH208,0)</f>
        <v>0</v>
      </c>
      <c r="AG208" s="34">
        <f>IF(AQ208="2",BI208,0)</f>
        <v>0</v>
      </c>
      <c r="AH208" s="34">
        <f>IF(AQ208="0",BJ208,0)</f>
        <v>0</v>
      </c>
      <c r="AI208" s="11" t="s">
        <v>51</v>
      </c>
      <c r="AJ208" s="34">
        <f>IF(AN208=0,L208,0)</f>
        <v>0</v>
      </c>
      <c r="AK208" s="34">
        <f>IF(AN208=12,L208,0)</f>
        <v>0</v>
      </c>
      <c r="AL208" s="34">
        <f>IF(AN208=21,L208,0)</f>
        <v>0</v>
      </c>
      <c r="AN208" s="34">
        <v>21</v>
      </c>
      <c r="AO208" s="34">
        <f>H208*0.48322</f>
        <v>0</v>
      </c>
      <c r="AP208" s="34">
        <f>H208*(1-0.48322)</f>
        <v>0</v>
      </c>
      <c r="AQ208" s="35" t="s">
        <v>55</v>
      </c>
      <c r="AV208" s="34">
        <f>AW208+AX208</f>
        <v>0</v>
      </c>
      <c r="AW208" s="34">
        <f>G208*AO208</f>
        <v>0</v>
      </c>
      <c r="AX208" s="34">
        <f>G208*AP208</f>
        <v>0</v>
      </c>
      <c r="AY208" s="35" t="s">
        <v>488</v>
      </c>
      <c r="AZ208" s="35" t="s">
        <v>489</v>
      </c>
      <c r="BA208" s="11" t="s">
        <v>62</v>
      </c>
      <c r="BC208" s="34">
        <f>AW208+AX208</f>
        <v>0</v>
      </c>
      <c r="BD208" s="34">
        <f>H208/(100-BE208)*100</f>
        <v>0</v>
      </c>
      <c r="BE208" s="34">
        <v>0</v>
      </c>
      <c r="BF208" s="34">
        <f>O208</f>
        <v>0.31590000000000001</v>
      </c>
      <c r="BH208" s="34">
        <f>G208*AO208</f>
        <v>0</v>
      </c>
      <c r="BI208" s="34">
        <f>G208*AP208</f>
        <v>0</v>
      </c>
      <c r="BJ208" s="34">
        <f>G208*H208</f>
        <v>0</v>
      </c>
      <c r="BK208" s="34"/>
      <c r="BL208" s="34">
        <v>89</v>
      </c>
      <c r="BW208" s="34" t="str">
        <f>I208</f>
        <v>21</v>
      </c>
    </row>
    <row r="209" spans="1:75" x14ac:dyDescent="0.25">
      <c r="A209" s="37"/>
      <c r="D209" s="38" t="s">
        <v>55</v>
      </c>
      <c r="E209" s="39" t="s">
        <v>490</v>
      </c>
      <c r="G209" s="40">
        <v>1</v>
      </c>
      <c r="P209" s="41"/>
    </row>
    <row r="210" spans="1:75" ht="13.5" customHeight="1" x14ac:dyDescent="0.25">
      <c r="A210" s="2" t="s">
        <v>491</v>
      </c>
      <c r="B210" s="3" t="s">
        <v>51</v>
      </c>
      <c r="C210" s="3" t="s">
        <v>492</v>
      </c>
      <c r="D210" s="76" t="s">
        <v>493</v>
      </c>
      <c r="E210" s="77"/>
      <c r="F210" s="3" t="s">
        <v>487</v>
      </c>
      <c r="G210" s="34">
        <v>2</v>
      </c>
      <c r="H210" s="34"/>
      <c r="I210" s="35" t="s">
        <v>59</v>
      </c>
      <c r="J210" s="34">
        <f t="shared" ref="J210:J223" si="56">G210*AO210</f>
        <v>0</v>
      </c>
      <c r="K210" s="34">
        <f t="shared" ref="K210:K223" si="57">G210*AP210</f>
        <v>0</v>
      </c>
      <c r="L210" s="34">
        <f t="shared" ref="L210:L223" si="58">G210*H210</f>
        <v>0</v>
      </c>
      <c r="M210" s="34">
        <f t="shared" ref="M210:M223" si="59">L210*(1+BW210/100)</f>
        <v>0</v>
      </c>
      <c r="N210" s="34">
        <v>0</v>
      </c>
      <c r="O210" s="34">
        <f t="shared" ref="O210:O223" si="60">G210*N210</f>
        <v>0</v>
      </c>
      <c r="P210" s="36" t="s">
        <v>779</v>
      </c>
      <c r="Z210" s="34">
        <f t="shared" ref="Z210:Z223" si="61">IF(AQ210="5",BJ210,0)</f>
        <v>0</v>
      </c>
      <c r="AB210" s="34">
        <f t="shared" ref="AB210:AB223" si="62">IF(AQ210="1",BH210,0)</f>
        <v>0</v>
      </c>
      <c r="AC210" s="34">
        <f t="shared" ref="AC210:AC223" si="63">IF(AQ210="1",BI210,0)</f>
        <v>0</v>
      </c>
      <c r="AD210" s="34">
        <f t="shared" ref="AD210:AD223" si="64">IF(AQ210="7",BH210,0)</f>
        <v>0</v>
      </c>
      <c r="AE210" s="34">
        <f t="shared" ref="AE210:AE223" si="65">IF(AQ210="7",BI210,0)</f>
        <v>0</v>
      </c>
      <c r="AF210" s="34">
        <f t="shared" ref="AF210:AF223" si="66">IF(AQ210="2",BH210,0)</f>
        <v>0</v>
      </c>
      <c r="AG210" s="34">
        <f t="shared" ref="AG210:AG223" si="67">IF(AQ210="2",BI210,0)</f>
        <v>0</v>
      </c>
      <c r="AH210" s="34">
        <f t="shared" ref="AH210:AH223" si="68">IF(AQ210="0",BJ210,0)</f>
        <v>0</v>
      </c>
      <c r="AI210" s="11" t="s">
        <v>51</v>
      </c>
      <c r="AJ210" s="34">
        <f t="shared" ref="AJ210:AJ223" si="69">IF(AN210=0,L210,0)</f>
        <v>0</v>
      </c>
      <c r="AK210" s="34">
        <f t="shared" ref="AK210:AK223" si="70">IF(AN210=12,L210,0)</f>
        <v>0</v>
      </c>
      <c r="AL210" s="34">
        <f t="shared" ref="AL210:AL223" si="71">IF(AN210=21,L210,0)</f>
        <v>0</v>
      </c>
      <c r="AN210" s="34">
        <v>21</v>
      </c>
      <c r="AO210" s="34">
        <f>H210*0</f>
        <v>0</v>
      </c>
      <c r="AP210" s="34">
        <f>H210*(1-0)</f>
        <v>0</v>
      </c>
      <c r="AQ210" s="35" t="s">
        <v>55</v>
      </c>
      <c r="AV210" s="34">
        <f t="shared" ref="AV210:AV223" si="72">AW210+AX210</f>
        <v>0</v>
      </c>
      <c r="AW210" s="34">
        <f t="shared" ref="AW210:AW223" si="73">G210*AO210</f>
        <v>0</v>
      </c>
      <c r="AX210" s="34">
        <f t="shared" ref="AX210:AX223" si="74">G210*AP210</f>
        <v>0</v>
      </c>
      <c r="AY210" s="35" t="s">
        <v>488</v>
      </c>
      <c r="AZ210" s="35" t="s">
        <v>489</v>
      </c>
      <c r="BA210" s="11" t="s">
        <v>62</v>
      </c>
      <c r="BC210" s="34">
        <f t="shared" ref="BC210:BC223" si="75">AW210+AX210</f>
        <v>0</v>
      </c>
      <c r="BD210" s="34">
        <f t="shared" ref="BD210:BD223" si="76">H210/(100-BE210)*100</f>
        <v>0</v>
      </c>
      <c r="BE210" s="34">
        <v>0</v>
      </c>
      <c r="BF210" s="34">
        <f t="shared" ref="BF210:BF223" si="77">O210</f>
        <v>0</v>
      </c>
      <c r="BH210" s="34">
        <f t="shared" ref="BH210:BH223" si="78">G210*AO210</f>
        <v>0</v>
      </c>
      <c r="BI210" s="34">
        <f t="shared" ref="BI210:BI223" si="79">G210*AP210</f>
        <v>0</v>
      </c>
      <c r="BJ210" s="34">
        <f t="shared" ref="BJ210:BJ223" si="80">G210*H210</f>
        <v>0</v>
      </c>
      <c r="BK210" s="34"/>
      <c r="BL210" s="34">
        <v>89</v>
      </c>
      <c r="BW210" s="34" t="str">
        <f t="shared" ref="BW210:BW223" si="81">I210</f>
        <v>21</v>
      </c>
    </row>
    <row r="211" spans="1:75" ht="13.5" customHeight="1" x14ac:dyDescent="0.25">
      <c r="A211" s="42" t="s">
        <v>494</v>
      </c>
      <c r="B211" s="43" t="s">
        <v>51</v>
      </c>
      <c r="C211" s="43" t="s">
        <v>495</v>
      </c>
      <c r="D211" s="135" t="s">
        <v>496</v>
      </c>
      <c r="E211" s="136"/>
      <c r="F211" s="43" t="s">
        <v>487</v>
      </c>
      <c r="G211" s="44">
        <v>2</v>
      </c>
      <c r="H211" s="44"/>
      <c r="I211" s="45" t="s">
        <v>59</v>
      </c>
      <c r="J211" s="44">
        <f t="shared" si="56"/>
        <v>0</v>
      </c>
      <c r="K211" s="44">
        <f t="shared" si="57"/>
        <v>0</v>
      </c>
      <c r="L211" s="44">
        <f t="shared" si="58"/>
        <v>0</v>
      </c>
      <c r="M211" s="44">
        <f t="shared" si="59"/>
        <v>0</v>
      </c>
      <c r="N211" s="44">
        <v>4.1999999999999997E-3</v>
      </c>
      <c r="O211" s="44">
        <f t="shared" si="60"/>
        <v>8.3999999999999995E-3</v>
      </c>
      <c r="P211" s="46" t="s">
        <v>779</v>
      </c>
      <c r="Z211" s="34">
        <f t="shared" si="61"/>
        <v>0</v>
      </c>
      <c r="AB211" s="34">
        <f t="shared" si="62"/>
        <v>0</v>
      </c>
      <c r="AC211" s="34">
        <f t="shared" si="63"/>
        <v>0</v>
      </c>
      <c r="AD211" s="34">
        <f t="shared" si="64"/>
        <v>0</v>
      </c>
      <c r="AE211" s="34">
        <f t="shared" si="65"/>
        <v>0</v>
      </c>
      <c r="AF211" s="34">
        <f t="shared" si="66"/>
        <v>0</v>
      </c>
      <c r="AG211" s="34">
        <f t="shared" si="67"/>
        <v>0</v>
      </c>
      <c r="AH211" s="34">
        <f t="shared" si="68"/>
        <v>0</v>
      </c>
      <c r="AI211" s="11" t="s">
        <v>51</v>
      </c>
      <c r="AJ211" s="44">
        <f t="shared" si="69"/>
        <v>0</v>
      </c>
      <c r="AK211" s="44">
        <f t="shared" si="70"/>
        <v>0</v>
      </c>
      <c r="AL211" s="44">
        <f t="shared" si="71"/>
        <v>0</v>
      </c>
      <c r="AN211" s="34">
        <v>21</v>
      </c>
      <c r="AO211" s="34">
        <f>H211*1</f>
        <v>0</v>
      </c>
      <c r="AP211" s="34">
        <f>H211*(1-1)</f>
        <v>0</v>
      </c>
      <c r="AQ211" s="45" t="s">
        <v>55</v>
      </c>
      <c r="AV211" s="34">
        <f t="shared" si="72"/>
        <v>0</v>
      </c>
      <c r="AW211" s="34">
        <f t="shared" si="73"/>
        <v>0</v>
      </c>
      <c r="AX211" s="34">
        <f t="shared" si="74"/>
        <v>0</v>
      </c>
      <c r="AY211" s="35" t="s">
        <v>488</v>
      </c>
      <c r="AZ211" s="35" t="s">
        <v>489</v>
      </c>
      <c r="BA211" s="11" t="s">
        <v>62</v>
      </c>
      <c r="BC211" s="34">
        <f t="shared" si="75"/>
        <v>0</v>
      </c>
      <c r="BD211" s="34">
        <f t="shared" si="76"/>
        <v>0</v>
      </c>
      <c r="BE211" s="34">
        <v>0</v>
      </c>
      <c r="BF211" s="34">
        <f t="shared" si="77"/>
        <v>8.3999999999999995E-3</v>
      </c>
      <c r="BH211" s="44">
        <f t="shared" si="78"/>
        <v>0</v>
      </c>
      <c r="BI211" s="44">
        <f t="shared" si="79"/>
        <v>0</v>
      </c>
      <c r="BJ211" s="44">
        <f t="shared" si="80"/>
        <v>0</v>
      </c>
      <c r="BK211" s="44"/>
      <c r="BL211" s="34">
        <v>89</v>
      </c>
      <c r="BW211" s="34" t="str">
        <f t="shared" si="81"/>
        <v>21</v>
      </c>
    </row>
    <row r="212" spans="1:75" ht="13.5" customHeight="1" x14ac:dyDescent="0.25">
      <c r="A212" s="42" t="s">
        <v>497</v>
      </c>
      <c r="B212" s="43" t="s">
        <v>51</v>
      </c>
      <c r="C212" s="43" t="s">
        <v>498</v>
      </c>
      <c r="D212" s="135" t="s">
        <v>499</v>
      </c>
      <c r="E212" s="136"/>
      <c r="F212" s="43" t="s">
        <v>487</v>
      </c>
      <c r="G212" s="44">
        <v>2</v>
      </c>
      <c r="H212" s="44"/>
      <c r="I212" s="45" t="s">
        <v>59</v>
      </c>
      <c r="J212" s="44">
        <f t="shared" si="56"/>
        <v>0</v>
      </c>
      <c r="K212" s="44">
        <f t="shared" si="57"/>
        <v>0</v>
      </c>
      <c r="L212" s="44">
        <f t="shared" si="58"/>
        <v>0</v>
      </c>
      <c r="M212" s="44">
        <f t="shared" si="59"/>
        <v>0</v>
      </c>
      <c r="N212" s="44">
        <v>6.1399999999999996E-3</v>
      </c>
      <c r="O212" s="44">
        <f t="shared" si="60"/>
        <v>1.2279999999999999E-2</v>
      </c>
      <c r="P212" s="46" t="s">
        <v>779</v>
      </c>
      <c r="Z212" s="34">
        <f t="shared" si="61"/>
        <v>0</v>
      </c>
      <c r="AB212" s="34">
        <f t="shared" si="62"/>
        <v>0</v>
      </c>
      <c r="AC212" s="34">
        <f t="shared" si="63"/>
        <v>0</v>
      </c>
      <c r="AD212" s="34">
        <f t="shared" si="64"/>
        <v>0</v>
      </c>
      <c r="AE212" s="34">
        <f t="shared" si="65"/>
        <v>0</v>
      </c>
      <c r="AF212" s="34">
        <f t="shared" si="66"/>
        <v>0</v>
      </c>
      <c r="AG212" s="34">
        <f t="shared" si="67"/>
        <v>0</v>
      </c>
      <c r="AH212" s="34">
        <f t="shared" si="68"/>
        <v>0</v>
      </c>
      <c r="AI212" s="11" t="s">
        <v>51</v>
      </c>
      <c r="AJ212" s="44">
        <f t="shared" si="69"/>
        <v>0</v>
      </c>
      <c r="AK212" s="44">
        <f t="shared" si="70"/>
        <v>0</v>
      </c>
      <c r="AL212" s="44">
        <f t="shared" si="71"/>
        <v>0</v>
      </c>
      <c r="AN212" s="34">
        <v>21</v>
      </c>
      <c r="AO212" s="34">
        <f>H212*1</f>
        <v>0</v>
      </c>
      <c r="AP212" s="34">
        <f>H212*(1-1)</f>
        <v>0</v>
      </c>
      <c r="AQ212" s="45" t="s">
        <v>55</v>
      </c>
      <c r="AV212" s="34">
        <f t="shared" si="72"/>
        <v>0</v>
      </c>
      <c r="AW212" s="34">
        <f t="shared" si="73"/>
        <v>0</v>
      </c>
      <c r="AX212" s="34">
        <f t="shared" si="74"/>
        <v>0</v>
      </c>
      <c r="AY212" s="35" t="s">
        <v>488</v>
      </c>
      <c r="AZ212" s="35" t="s">
        <v>489</v>
      </c>
      <c r="BA212" s="11" t="s">
        <v>62</v>
      </c>
      <c r="BC212" s="34">
        <f t="shared" si="75"/>
        <v>0</v>
      </c>
      <c r="BD212" s="34">
        <f t="shared" si="76"/>
        <v>0</v>
      </c>
      <c r="BE212" s="34">
        <v>0</v>
      </c>
      <c r="BF212" s="34">
        <f t="shared" si="77"/>
        <v>1.2279999999999999E-2</v>
      </c>
      <c r="BH212" s="44">
        <f t="shared" si="78"/>
        <v>0</v>
      </c>
      <c r="BI212" s="44">
        <f t="shared" si="79"/>
        <v>0</v>
      </c>
      <c r="BJ212" s="44">
        <f t="shared" si="80"/>
        <v>0</v>
      </c>
      <c r="BK212" s="44"/>
      <c r="BL212" s="34">
        <v>89</v>
      </c>
      <c r="BW212" s="34" t="str">
        <f t="shared" si="81"/>
        <v>21</v>
      </c>
    </row>
    <row r="213" spans="1:75" ht="13.5" customHeight="1" x14ac:dyDescent="0.25">
      <c r="A213" s="42" t="s">
        <v>500</v>
      </c>
      <c r="B213" s="43" t="s">
        <v>51</v>
      </c>
      <c r="C213" s="43" t="s">
        <v>501</v>
      </c>
      <c r="D213" s="135" t="s">
        <v>502</v>
      </c>
      <c r="E213" s="136"/>
      <c r="F213" s="43" t="s">
        <v>487</v>
      </c>
      <c r="G213" s="44">
        <v>3</v>
      </c>
      <c r="H213" s="44"/>
      <c r="I213" s="45" t="s">
        <v>59</v>
      </c>
      <c r="J213" s="44">
        <f t="shared" si="56"/>
        <v>0</v>
      </c>
      <c r="K213" s="44">
        <f t="shared" si="57"/>
        <v>0</v>
      </c>
      <c r="L213" s="44">
        <f t="shared" si="58"/>
        <v>0</v>
      </c>
      <c r="M213" s="44">
        <f t="shared" si="59"/>
        <v>0</v>
      </c>
      <c r="N213" s="44">
        <v>5.0000000000000001E-4</v>
      </c>
      <c r="O213" s="44">
        <f t="shared" si="60"/>
        <v>1.5E-3</v>
      </c>
      <c r="P213" s="46" t="s">
        <v>779</v>
      </c>
      <c r="Z213" s="34">
        <f t="shared" si="61"/>
        <v>0</v>
      </c>
      <c r="AB213" s="34">
        <f t="shared" si="62"/>
        <v>0</v>
      </c>
      <c r="AC213" s="34">
        <f t="shared" si="63"/>
        <v>0</v>
      </c>
      <c r="AD213" s="34">
        <f t="shared" si="64"/>
        <v>0</v>
      </c>
      <c r="AE213" s="34">
        <f t="shared" si="65"/>
        <v>0</v>
      </c>
      <c r="AF213" s="34">
        <f t="shared" si="66"/>
        <v>0</v>
      </c>
      <c r="AG213" s="34">
        <f t="shared" si="67"/>
        <v>0</v>
      </c>
      <c r="AH213" s="34">
        <f t="shared" si="68"/>
        <v>0</v>
      </c>
      <c r="AI213" s="11" t="s">
        <v>51</v>
      </c>
      <c r="AJ213" s="44">
        <f t="shared" si="69"/>
        <v>0</v>
      </c>
      <c r="AK213" s="44">
        <f t="shared" si="70"/>
        <v>0</v>
      </c>
      <c r="AL213" s="44">
        <f t="shared" si="71"/>
        <v>0</v>
      </c>
      <c r="AN213" s="34">
        <v>21</v>
      </c>
      <c r="AO213" s="34">
        <f>H213*1</f>
        <v>0</v>
      </c>
      <c r="AP213" s="34">
        <f>H213*(1-1)</f>
        <v>0</v>
      </c>
      <c r="AQ213" s="45" t="s">
        <v>55</v>
      </c>
      <c r="AV213" s="34">
        <f t="shared" si="72"/>
        <v>0</v>
      </c>
      <c r="AW213" s="34">
        <f t="shared" si="73"/>
        <v>0</v>
      </c>
      <c r="AX213" s="34">
        <f t="shared" si="74"/>
        <v>0</v>
      </c>
      <c r="AY213" s="35" t="s">
        <v>488</v>
      </c>
      <c r="AZ213" s="35" t="s">
        <v>489</v>
      </c>
      <c r="BA213" s="11" t="s">
        <v>62</v>
      </c>
      <c r="BC213" s="34">
        <f t="shared" si="75"/>
        <v>0</v>
      </c>
      <c r="BD213" s="34">
        <f t="shared" si="76"/>
        <v>0</v>
      </c>
      <c r="BE213" s="34">
        <v>0</v>
      </c>
      <c r="BF213" s="34">
        <f t="shared" si="77"/>
        <v>1.5E-3</v>
      </c>
      <c r="BH213" s="44">
        <f t="shared" si="78"/>
        <v>0</v>
      </c>
      <c r="BI213" s="44">
        <f t="shared" si="79"/>
        <v>0</v>
      </c>
      <c r="BJ213" s="44">
        <f t="shared" si="80"/>
        <v>0</v>
      </c>
      <c r="BK213" s="44"/>
      <c r="BL213" s="34">
        <v>89</v>
      </c>
      <c r="BW213" s="34" t="str">
        <f t="shared" si="81"/>
        <v>21</v>
      </c>
    </row>
    <row r="214" spans="1:75" ht="13.5" customHeight="1" x14ac:dyDescent="0.25">
      <c r="A214" s="2" t="s">
        <v>503</v>
      </c>
      <c r="B214" s="3" t="s">
        <v>51</v>
      </c>
      <c r="C214" s="3" t="s">
        <v>504</v>
      </c>
      <c r="D214" s="76" t="s">
        <v>505</v>
      </c>
      <c r="E214" s="77"/>
      <c r="F214" s="3" t="s">
        <v>487</v>
      </c>
      <c r="G214" s="34">
        <v>2</v>
      </c>
      <c r="H214" s="34"/>
      <c r="I214" s="35" t="s">
        <v>59</v>
      </c>
      <c r="J214" s="34">
        <f t="shared" si="56"/>
        <v>0</v>
      </c>
      <c r="K214" s="34">
        <f t="shared" si="57"/>
        <v>0</v>
      </c>
      <c r="L214" s="34">
        <f t="shared" si="58"/>
        <v>0</v>
      </c>
      <c r="M214" s="34">
        <f t="shared" si="59"/>
        <v>0</v>
      </c>
      <c r="N214" s="34">
        <v>0</v>
      </c>
      <c r="O214" s="34">
        <f t="shared" si="60"/>
        <v>0</v>
      </c>
      <c r="P214" s="36" t="s">
        <v>779</v>
      </c>
      <c r="Z214" s="34">
        <f t="shared" si="61"/>
        <v>0</v>
      </c>
      <c r="AB214" s="34">
        <f t="shared" si="62"/>
        <v>0</v>
      </c>
      <c r="AC214" s="34">
        <f t="shared" si="63"/>
        <v>0</v>
      </c>
      <c r="AD214" s="34">
        <f t="shared" si="64"/>
        <v>0</v>
      </c>
      <c r="AE214" s="34">
        <f t="shared" si="65"/>
        <v>0</v>
      </c>
      <c r="AF214" s="34">
        <f t="shared" si="66"/>
        <v>0</v>
      </c>
      <c r="AG214" s="34">
        <f t="shared" si="67"/>
        <v>0</v>
      </c>
      <c r="AH214" s="34">
        <f t="shared" si="68"/>
        <v>0</v>
      </c>
      <c r="AI214" s="11" t="s">
        <v>51</v>
      </c>
      <c r="AJ214" s="34">
        <f t="shared" si="69"/>
        <v>0</v>
      </c>
      <c r="AK214" s="34">
        <f t="shared" si="70"/>
        <v>0</v>
      </c>
      <c r="AL214" s="34">
        <f t="shared" si="71"/>
        <v>0</v>
      </c>
      <c r="AN214" s="34">
        <v>21</v>
      </c>
      <c r="AO214" s="34">
        <f>H214*0</f>
        <v>0</v>
      </c>
      <c r="AP214" s="34">
        <f>H214*(1-0)</f>
        <v>0</v>
      </c>
      <c r="AQ214" s="35" t="s">
        <v>55</v>
      </c>
      <c r="AV214" s="34">
        <f t="shared" si="72"/>
        <v>0</v>
      </c>
      <c r="AW214" s="34">
        <f t="shared" si="73"/>
        <v>0</v>
      </c>
      <c r="AX214" s="34">
        <f t="shared" si="74"/>
        <v>0</v>
      </c>
      <c r="AY214" s="35" t="s">
        <v>488</v>
      </c>
      <c r="AZ214" s="35" t="s">
        <v>489</v>
      </c>
      <c r="BA214" s="11" t="s">
        <v>62</v>
      </c>
      <c r="BC214" s="34">
        <f t="shared" si="75"/>
        <v>0</v>
      </c>
      <c r="BD214" s="34">
        <f t="shared" si="76"/>
        <v>0</v>
      </c>
      <c r="BE214" s="34">
        <v>0</v>
      </c>
      <c r="BF214" s="34">
        <f t="shared" si="77"/>
        <v>0</v>
      </c>
      <c r="BH214" s="34">
        <f t="shared" si="78"/>
        <v>0</v>
      </c>
      <c r="BI214" s="34">
        <f t="shared" si="79"/>
        <v>0</v>
      </c>
      <c r="BJ214" s="34">
        <f t="shared" si="80"/>
        <v>0</v>
      </c>
      <c r="BK214" s="34"/>
      <c r="BL214" s="34">
        <v>89</v>
      </c>
      <c r="BW214" s="34" t="str">
        <f t="shared" si="81"/>
        <v>21</v>
      </c>
    </row>
    <row r="215" spans="1:75" ht="13.5" customHeight="1" x14ac:dyDescent="0.25">
      <c r="A215" s="42" t="s">
        <v>506</v>
      </c>
      <c r="B215" s="43" t="s">
        <v>51</v>
      </c>
      <c r="C215" s="43" t="s">
        <v>507</v>
      </c>
      <c r="D215" s="135" t="s">
        <v>508</v>
      </c>
      <c r="E215" s="136"/>
      <c r="F215" s="43" t="s">
        <v>487</v>
      </c>
      <c r="G215" s="44">
        <v>1</v>
      </c>
      <c r="H215" s="44"/>
      <c r="I215" s="45" t="s">
        <v>59</v>
      </c>
      <c r="J215" s="44">
        <f t="shared" si="56"/>
        <v>0</v>
      </c>
      <c r="K215" s="44">
        <f t="shared" si="57"/>
        <v>0</v>
      </c>
      <c r="L215" s="44">
        <f t="shared" si="58"/>
        <v>0</v>
      </c>
      <c r="M215" s="44">
        <f t="shared" si="59"/>
        <v>0</v>
      </c>
      <c r="N215" s="44">
        <v>7.4000000000000003E-3</v>
      </c>
      <c r="O215" s="44">
        <f t="shared" si="60"/>
        <v>7.4000000000000003E-3</v>
      </c>
      <c r="P215" s="46" t="s">
        <v>779</v>
      </c>
      <c r="Z215" s="34">
        <f t="shared" si="61"/>
        <v>0</v>
      </c>
      <c r="AB215" s="34">
        <f t="shared" si="62"/>
        <v>0</v>
      </c>
      <c r="AC215" s="34">
        <f t="shared" si="63"/>
        <v>0</v>
      </c>
      <c r="AD215" s="34">
        <f t="shared" si="64"/>
        <v>0</v>
      </c>
      <c r="AE215" s="34">
        <f t="shared" si="65"/>
        <v>0</v>
      </c>
      <c r="AF215" s="34">
        <f t="shared" si="66"/>
        <v>0</v>
      </c>
      <c r="AG215" s="34">
        <f t="shared" si="67"/>
        <v>0</v>
      </c>
      <c r="AH215" s="34">
        <f t="shared" si="68"/>
        <v>0</v>
      </c>
      <c r="AI215" s="11" t="s">
        <v>51</v>
      </c>
      <c r="AJ215" s="44">
        <f t="shared" si="69"/>
        <v>0</v>
      </c>
      <c r="AK215" s="44">
        <f t="shared" si="70"/>
        <v>0</v>
      </c>
      <c r="AL215" s="44">
        <f t="shared" si="71"/>
        <v>0</v>
      </c>
      <c r="AN215" s="34">
        <v>21</v>
      </c>
      <c r="AO215" s="34">
        <f>H215*1</f>
        <v>0</v>
      </c>
      <c r="AP215" s="34">
        <f>H215*(1-1)</f>
        <v>0</v>
      </c>
      <c r="AQ215" s="45" t="s">
        <v>55</v>
      </c>
      <c r="AV215" s="34">
        <f t="shared" si="72"/>
        <v>0</v>
      </c>
      <c r="AW215" s="34">
        <f t="shared" si="73"/>
        <v>0</v>
      </c>
      <c r="AX215" s="34">
        <f t="shared" si="74"/>
        <v>0</v>
      </c>
      <c r="AY215" s="35" t="s">
        <v>488</v>
      </c>
      <c r="AZ215" s="35" t="s">
        <v>489</v>
      </c>
      <c r="BA215" s="11" t="s">
        <v>62</v>
      </c>
      <c r="BC215" s="34">
        <f t="shared" si="75"/>
        <v>0</v>
      </c>
      <c r="BD215" s="34">
        <f t="shared" si="76"/>
        <v>0</v>
      </c>
      <c r="BE215" s="34">
        <v>0</v>
      </c>
      <c r="BF215" s="34">
        <f t="shared" si="77"/>
        <v>7.4000000000000003E-3</v>
      </c>
      <c r="BH215" s="44">
        <f t="shared" si="78"/>
        <v>0</v>
      </c>
      <c r="BI215" s="44">
        <f t="shared" si="79"/>
        <v>0</v>
      </c>
      <c r="BJ215" s="44">
        <f t="shared" si="80"/>
        <v>0</v>
      </c>
      <c r="BK215" s="44"/>
      <c r="BL215" s="34">
        <v>89</v>
      </c>
      <c r="BW215" s="34" t="str">
        <f t="shared" si="81"/>
        <v>21</v>
      </c>
    </row>
    <row r="216" spans="1:75" ht="13.5" customHeight="1" x14ac:dyDescent="0.25">
      <c r="A216" s="42" t="s">
        <v>509</v>
      </c>
      <c r="B216" s="43" t="s">
        <v>51</v>
      </c>
      <c r="C216" s="43" t="s">
        <v>510</v>
      </c>
      <c r="D216" s="135" t="s">
        <v>780</v>
      </c>
      <c r="E216" s="136"/>
      <c r="F216" s="43" t="s">
        <v>487</v>
      </c>
      <c r="G216" s="44">
        <v>1</v>
      </c>
      <c r="H216" s="44"/>
      <c r="I216" s="45" t="s">
        <v>59</v>
      </c>
      <c r="J216" s="44">
        <f t="shared" si="56"/>
        <v>0</v>
      </c>
      <c r="K216" s="44">
        <f t="shared" si="57"/>
        <v>0</v>
      </c>
      <c r="L216" s="44">
        <f t="shared" si="58"/>
        <v>0</v>
      </c>
      <c r="M216" s="44">
        <f t="shared" si="59"/>
        <v>0</v>
      </c>
      <c r="N216" s="44">
        <v>0.112</v>
      </c>
      <c r="O216" s="44">
        <f t="shared" si="60"/>
        <v>0.112</v>
      </c>
      <c r="P216" s="46" t="s">
        <v>779</v>
      </c>
      <c r="Z216" s="34">
        <f t="shared" si="61"/>
        <v>0</v>
      </c>
      <c r="AB216" s="34">
        <f t="shared" si="62"/>
        <v>0</v>
      </c>
      <c r="AC216" s="34">
        <f t="shared" si="63"/>
        <v>0</v>
      </c>
      <c r="AD216" s="34">
        <f t="shared" si="64"/>
        <v>0</v>
      </c>
      <c r="AE216" s="34">
        <f t="shared" si="65"/>
        <v>0</v>
      </c>
      <c r="AF216" s="34">
        <f t="shared" si="66"/>
        <v>0</v>
      </c>
      <c r="AG216" s="34">
        <f t="shared" si="67"/>
        <v>0</v>
      </c>
      <c r="AH216" s="34">
        <f t="shared" si="68"/>
        <v>0</v>
      </c>
      <c r="AI216" s="11" t="s">
        <v>51</v>
      </c>
      <c r="AJ216" s="44">
        <f t="shared" si="69"/>
        <v>0</v>
      </c>
      <c r="AK216" s="44">
        <f t="shared" si="70"/>
        <v>0</v>
      </c>
      <c r="AL216" s="44">
        <f t="shared" si="71"/>
        <v>0</v>
      </c>
      <c r="AN216" s="34">
        <v>21</v>
      </c>
      <c r="AO216" s="34">
        <f>H216*1</f>
        <v>0</v>
      </c>
      <c r="AP216" s="34">
        <f>H216*(1-1)</f>
        <v>0</v>
      </c>
      <c r="AQ216" s="45" t="s">
        <v>55</v>
      </c>
      <c r="AV216" s="34">
        <f t="shared" si="72"/>
        <v>0</v>
      </c>
      <c r="AW216" s="34">
        <f t="shared" si="73"/>
        <v>0</v>
      </c>
      <c r="AX216" s="34">
        <f t="shared" si="74"/>
        <v>0</v>
      </c>
      <c r="AY216" s="35" t="s">
        <v>488</v>
      </c>
      <c r="AZ216" s="35" t="s">
        <v>489</v>
      </c>
      <c r="BA216" s="11" t="s">
        <v>62</v>
      </c>
      <c r="BC216" s="34">
        <f t="shared" si="75"/>
        <v>0</v>
      </c>
      <c r="BD216" s="34">
        <f t="shared" si="76"/>
        <v>0</v>
      </c>
      <c r="BE216" s="34">
        <v>0</v>
      </c>
      <c r="BF216" s="34">
        <f t="shared" si="77"/>
        <v>0.112</v>
      </c>
      <c r="BH216" s="44">
        <f t="shared" si="78"/>
        <v>0</v>
      </c>
      <c r="BI216" s="44">
        <f t="shared" si="79"/>
        <v>0</v>
      </c>
      <c r="BJ216" s="44">
        <f t="shared" si="80"/>
        <v>0</v>
      </c>
      <c r="BK216" s="44"/>
      <c r="BL216" s="34">
        <v>89</v>
      </c>
      <c r="BW216" s="34" t="str">
        <f t="shared" si="81"/>
        <v>21</v>
      </c>
    </row>
    <row r="217" spans="1:75" ht="13.5" customHeight="1" x14ac:dyDescent="0.25">
      <c r="A217" s="42" t="s">
        <v>511</v>
      </c>
      <c r="B217" s="43" t="s">
        <v>51</v>
      </c>
      <c r="C217" s="43" t="s">
        <v>512</v>
      </c>
      <c r="D217" s="135" t="s">
        <v>513</v>
      </c>
      <c r="E217" s="136"/>
      <c r="F217" s="43" t="s">
        <v>487</v>
      </c>
      <c r="G217" s="44">
        <v>1</v>
      </c>
      <c r="H217" s="44"/>
      <c r="I217" s="45" t="s">
        <v>59</v>
      </c>
      <c r="J217" s="44">
        <f t="shared" si="56"/>
        <v>0</v>
      </c>
      <c r="K217" s="44">
        <f t="shared" si="57"/>
        <v>0</v>
      </c>
      <c r="L217" s="44">
        <f t="shared" si="58"/>
        <v>0</v>
      </c>
      <c r="M217" s="44">
        <f t="shared" si="59"/>
        <v>0</v>
      </c>
      <c r="N217" s="44">
        <v>1E-3</v>
      </c>
      <c r="O217" s="44">
        <f t="shared" si="60"/>
        <v>1E-3</v>
      </c>
      <c r="P217" s="46" t="s">
        <v>779</v>
      </c>
      <c r="Z217" s="34">
        <f t="shared" si="61"/>
        <v>0</v>
      </c>
      <c r="AB217" s="34">
        <f t="shared" si="62"/>
        <v>0</v>
      </c>
      <c r="AC217" s="34">
        <f t="shared" si="63"/>
        <v>0</v>
      </c>
      <c r="AD217" s="34">
        <f t="shared" si="64"/>
        <v>0</v>
      </c>
      <c r="AE217" s="34">
        <f t="shared" si="65"/>
        <v>0</v>
      </c>
      <c r="AF217" s="34">
        <f t="shared" si="66"/>
        <v>0</v>
      </c>
      <c r="AG217" s="34">
        <f t="shared" si="67"/>
        <v>0</v>
      </c>
      <c r="AH217" s="34">
        <f t="shared" si="68"/>
        <v>0</v>
      </c>
      <c r="AI217" s="11" t="s">
        <v>51</v>
      </c>
      <c r="AJ217" s="44">
        <f t="shared" si="69"/>
        <v>0</v>
      </c>
      <c r="AK217" s="44">
        <f t="shared" si="70"/>
        <v>0</v>
      </c>
      <c r="AL217" s="44">
        <f t="shared" si="71"/>
        <v>0</v>
      </c>
      <c r="AN217" s="34">
        <v>21</v>
      </c>
      <c r="AO217" s="34">
        <f>H217*1</f>
        <v>0</v>
      </c>
      <c r="AP217" s="34">
        <f>H217*(1-1)</f>
        <v>0</v>
      </c>
      <c r="AQ217" s="45" t="s">
        <v>55</v>
      </c>
      <c r="AV217" s="34">
        <f t="shared" si="72"/>
        <v>0</v>
      </c>
      <c r="AW217" s="34">
        <f t="shared" si="73"/>
        <v>0</v>
      </c>
      <c r="AX217" s="34">
        <f t="shared" si="74"/>
        <v>0</v>
      </c>
      <c r="AY217" s="35" t="s">
        <v>488</v>
      </c>
      <c r="AZ217" s="35" t="s">
        <v>489</v>
      </c>
      <c r="BA217" s="11" t="s">
        <v>62</v>
      </c>
      <c r="BC217" s="34">
        <f t="shared" si="75"/>
        <v>0</v>
      </c>
      <c r="BD217" s="34">
        <f t="shared" si="76"/>
        <v>0</v>
      </c>
      <c r="BE217" s="34">
        <v>0</v>
      </c>
      <c r="BF217" s="34">
        <f t="shared" si="77"/>
        <v>1E-3</v>
      </c>
      <c r="BH217" s="44">
        <f t="shared" si="78"/>
        <v>0</v>
      </c>
      <c r="BI217" s="44">
        <f t="shared" si="79"/>
        <v>0</v>
      </c>
      <c r="BJ217" s="44">
        <f t="shared" si="80"/>
        <v>0</v>
      </c>
      <c r="BK217" s="44"/>
      <c r="BL217" s="34">
        <v>89</v>
      </c>
      <c r="BW217" s="34" t="str">
        <f t="shared" si="81"/>
        <v>21</v>
      </c>
    </row>
    <row r="218" spans="1:75" ht="13.5" customHeight="1" x14ac:dyDescent="0.25">
      <c r="A218" s="42" t="s">
        <v>514</v>
      </c>
      <c r="B218" s="43" t="s">
        <v>51</v>
      </c>
      <c r="C218" s="43" t="s">
        <v>515</v>
      </c>
      <c r="D218" s="135" t="s">
        <v>516</v>
      </c>
      <c r="E218" s="136"/>
      <c r="F218" s="43" t="s">
        <v>487</v>
      </c>
      <c r="G218" s="44">
        <v>1</v>
      </c>
      <c r="H218" s="44"/>
      <c r="I218" s="45" t="s">
        <v>59</v>
      </c>
      <c r="J218" s="44">
        <f t="shared" si="56"/>
        <v>0</v>
      </c>
      <c r="K218" s="44">
        <f t="shared" si="57"/>
        <v>0</v>
      </c>
      <c r="L218" s="44">
        <f t="shared" si="58"/>
        <v>0</v>
      </c>
      <c r="M218" s="44">
        <f t="shared" si="59"/>
        <v>0</v>
      </c>
      <c r="N218" s="44">
        <v>6.7999999999999996E-3</v>
      </c>
      <c r="O218" s="44">
        <f t="shared" si="60"/>
        <v>6.7999999999999996E-3</v>
      </c>
      <c r="P218" s="46" t="s">
        <v>779</v>
      </c>
      <c r="Z218" s="34">
        <f t="shared" si="61"/>
        <v>0</v>
      </c>
      <c r="AB218" s="34">
        <f t="shared" si="62"/>
        <v>0</v>
      </c>
      <c r="AC218" s="34">
        <f t="shared" si="63"/>
        <v>0</v>
      </c>
      <c r="AD218" s="34">
        <f t="shared" si="64"/>
        <v>0</v>
      </c>
      <c r="AE218" s="34">
        <f t="shared" si="65"/>
        <v>0</v>
      </c>
      <c r="AF218" s="34">
        <f t="shared" si="66"/>
        <v>0</v>
      </c>
      <c r="AG218" s="34">
        <f t="shared" si="67"/>
        <v>0</v>
      </c>
      <c r="AH218" s="34">
        <f t="shared" si="68"/>
        <v>0</v>
      </c>
      <c r="AI218" s="11" t="s">
        <v>51</v>
      </c>
      <c r="AJ218" s="44">
        <f t="shared" si="69"/>
        <v>0</v>
      </c>
      <c r="AK218" s="44">
        <f t="shared" si="70"/>
        <v>0</v>
      </c>
      <c r="AL218" s="44">
        <f t="shared" si="71"/>
        <v>0</v>
      </c>
      <c r="AN218" s="34">
        <v>21</v>
      </c>
      <c r="AO218" s="34">
        <f>H218*1</f>
        <v>0</v>
      </c>
      <c r="AP218" s="34">
        <f>H218*(1-1)</f>
        <v>0</v>
      </c>
      <c r="AQ218" s="45" t="s">
        <v>55</v>
      </c>
      <c r="AV218" s="34">
        <f t="shared" si="72"/>
        <v>0</v>
      </c>
      <c r="AW218" s="34">
        <f t="shared" si="73"/>
        <v>0</v>
      </c>
      <c r="AX218" s="34">
        <f t="shared" si="74"/>
        <v>0</v>
      </c>
      <c r="AY218" s="35" t="s">
        <v>488</v>
      </c>
      <c r="AZ218" s="35" t="s">
        <v>489</v>
      </c>
      <c r="BA218" s="11" t="s">
        <v>62</v>
      </c>
      <c r="BC218" s="34">
        <f t="shared" si="75"/>
        <v>0</v>
      </c>
      <c r="BD218" s="34">
        <f t="shared" si="76"/>
        <v>0</v>
      </c>
      <c r="BE218" s="34">
        <v>0</v>
      </c>
      <c r="BF218" s="34">
        <f t="shared" si="77"/>
        <v>6.7999999999999996E-3</v>
      </c>
      <c r="BH218" s="44">
        <f t="shared" si="78"/>
        <v>0</v>
      </c>
      <c r="BI218" s="44">
        <f t="shared" si="79"/>
        <v>0</v>
      </c>
      <c r="BJ218" s="44">
        <f t="shared" si="80"/>
        <v>0</v>
      </c>
      <c r="BK218" s="44"/>
      <c r="BL218" s="34">
        <v>89</v>
      </c>
      <c r="BW218" s="34" t="str">
        <f t="shared" si="81"/>
        <v>21</v>
      </c>
    </row>
    <row r="219" spans="1:75" ht="13.5" customHeight="1" x14ac:dyDescent="0.25">
      <c r="A219" s="42" t="s">
        <v>517</v>
      </c>
      <c r="B219" s="43" t="s">
        <v>51</v>
      </c>
      <c r="C219" s="43" t="s">
        <v>518</v>
      </c>
      <c r="D219" s="135" t="s">
        <v>519</v>
      </c>
      <c r="E219" s="136"/>
      <c r="F219" s="43" t="s">
        <v>487</v>
      </c>
      <c r="G219" s="44">
        <v>2</v>
      </c>
      <c r="H219" s="44"/>
      <c r="I219" s="45" t="s">
        <v>59</v>
      </c>
      <c r="J219" s="44">
        <f t="shared" si="56"/>
        <v>0</v>
      </c>
      <c r="K219" s="44">
        <f t="shared" si="57"/>
        <v>0</v>
      </c>
      <c r="L219" s="44">
        <f t="shared" si="58"/>
        <v>0</v>
      </c>
      <c r="M219" s="44">
        <f t="shared" si="59"/>
        <v>0</v>
      </c>
      <c r="N219" s="44">
        <v>1.2E-2</v>
      </c>
      <c r="O219" s="44">
        <f t="shared" si="60"/>
        <v>2.4E-2</v>
      </c>
      <c r="P219" s="46" t="s">
        <v>779</v>
      </c>
      <c r="Z219" s="34">
        <f t="shared" si="61"/>
        <v>0</v>
      </c>
      <c r="AB219" s="34">
        <f t="shared" si="62"/>
        <v>0</v>
      </c>
      <c r="AC219" s="34">
        <f t="shared" si="63"/>
        <v>0</v>
      </c>
      <c r="AD219" s="34">
        <f t="shared" si="64"/>
        <v>0</v>
      </c>
      <c r="AE219" s="34">
        <f t="shared" si="65"/>
        <v>0</v>
      </c>
      <c r="AF219" s="34">
        <f t="shared" si="66"/>
        <v>0</v>
      </c>
      <c r="AG219" s="34">
        <f t="shared" si="67"/>
        <v>0</v>
      </c>
      <c r="AH219" s="34">
        <f t="shared" si="68"/>
        <v>0</v>
      </c>
      <c r="AI219" s="11" t="s">
        <v>51</v>
      </c>
      <c r="AJ219" s="44">
        <f t="shared" si="69"/>
        <v>0</v>
      </c>
      <c r="AK219" s="44">
        <f t="shared" si="70"/>
        <v>0</v>
      </c>
      <c r="AL219" s="44">
        <f t="shared" si="71"/>
        <v>0</v>
      </c>
      <c r="AN219" s="34">
        <v>21</v>
      </c>
      <c r="AO219" s="34">
        <f>H219*1</f>
        <v>0</v>
      </c>
      <c r="AP219" s="34">
        <f>H219*(1-1)</f>
        <v>0</v>
      </c>
      <c r="AQ219" s="45" t="s">
        <v>55</v>
      </c>
      <c r="AV219" s="34">
        <f t="shared" si="72"/>
        <v>0</v>
      </c>
      <c r="AW219" s="34">
        <f t="shared" si="73"/>
        <v>0</v>
      </c>
      <c r="AX219" s="34">
        <f t="shared" si="74"/>
        <v>0</v>
      </c>
      <c r="AY219" s="35" t="s">
        <v>488</v>
      </c>
      <c r="AZ219" s="35" t="s">
        <v>489</v>
      </c>
      <c r="BA219" s="11" t="s">
        <v>62</v>
      </c>
      <c r="BC219" s="34">
        <f t="shared" si="75"/>
        <v>0</v>
      </c>
      <c r="BD219" s="34">
        <f t="shared" si="76"/>
        <v>0</v>
      </c>
      <c r="BE219" s="34">
        <v>0</v>
      </c>
      <c r="BF219" s="34">
        <f t="shared" si="77"/>
        <v>2.4E-2</v>
      </c>
      <c r="BH219" s="44">
        <f t="shared" si="78"/>
        <v>0</v>
      </c>
      <c r="BI219" s="44">
        <f t="shared" si="79"/>
        <v>0</v>
      </c>
      <c r="BJ219" s="44">
        <f t="shared" si="80"/>
        <v>0</v>
      </c>
      <c r="BK219" s="44"/>
      <c r="BL219" s="34">
        <v>89</v>
      </c>
      <c r="BW219" s="34" t="str">
        <f t="shared" si="81"/>
        <v>21</v>
      </c>
    </row>
    <row r="220" spans="1:75" ht="13.5" customHeight="1" x14ac:dyDescent="0.25">
      <c r="A220" s="2" t="s">
        <v>520</v>
      </c>
      <c r="B220" s="3" t="s">
        <v>51</v>
      </c>
      <c r="C220" s="3" t="s">
        <v>521</v>
      </c>
      <c r="D220" s="76" t="s">
        <v>522</v>
      </c>
      <c r="E220" s="77"/>
      <c r="F220" s="3" t="s">
        <v>487</v>
      </c>
      <c r="G220" s="34">
        <v>4</v>
      </c>
      <c r="H220" s="34"/>
      <c r="I220" s="35" t="s">
        <v>59</v>
      </c>
      <c r="J220" s="34">
        <f t="shared" si="56"/>
        <v>0</v>
      </c>
      <c r="K220" s="34">
        <f t="shared" si="57"/>
        <v>0</v>
      </c>
      <c r="L220" s="34">
        <f t="shared" si="58"/>
        <v>0</v>
      </c>
      <c r="M220" s="34">
        <f t="shared" si="59"/>
        <v>0</v>
      </c>
      <c r="N220" s="34">
        <v>4.6800000000000001E-3</v>
      </c>
      <c r="O220" s="34">
        <f t="shared" si="60"/>
        <v>1.8720000000000001E-2</v>
      </c>
      <c r="P220" s="36" t="s">
        <v>779</v>
      </c>
      <c r="Z220" s="34">
        <f t="shared" si="61"/>
        <v>0</v>
      </c>
      <c r="AB220" s="34">
        <f t="shared" si="62"/>
        <v>0</v>
      </c>
      <c r="AC220" s="34">
        <f t="shared" si="63"/>
        <v>0</v>
      </c>
      <c r="AD220" s="34">
        <f t="shared" si="64"/>
        <v>0</v>
      </c>
      <c r="AE220" s="34">
        <f t="shared" si="65"/>
        <v>0</v>
      </c>
      <c r="AF220" s="34">
        <f t="shared" si="66"/>
        <v>0</v>
      </c>
      <c r="AG220" s="34">
        <f t="shared" si="67"/>
        <v>0</v>
      </c>
      <c r="AH220" s="34">
        <f t="shared" si="68"/>
        <v>0</v>
      </c>
      <c r="AI220" s="11" t="s">
        <v>51</v>
      </c>
      <c r="AJ220" s="34">
        <f t="shared" si="69"/>
        <v>0</v>
      </c>
      <c r="AK220" s="34">
        <f t="shared" si="70"/>
        <v>0</v>
      </c>
      <c r="AL220" s="34">
        <f t="shared" si="71"/>
        <v>0</v>
      </c>
      <c r="AN220" s="34">
        <v>21</v>
      </c>
      <c r="AO220" s="34">
        <f>H220*0.018421053</f>
        <v>0</v>
      </c>
      <c r="AP220" s="34">
        <f>H220*(1-0.018421053)</f>
        <v>0</v>
      </c>
      <c r="AQ220" s="35" t="s">
        <v>55</v>
      </c>
      <c r="AV220" s="34">
        <f t="shared" si="72"/>
        <v>0</v>
      </c>
      <c r="AW220" s="34">
        <f t="shared" si="73"/>
        <v>0</v>
      </c>
      <c r="AX220" s="34">
        <f t="shared" si="74"/>
        <v>0</v>
      </c>
      <c r="AY220" s="35" t="s">
        <v>488</v>
      </c>
      <c r="AZ220" s="35" t="s">
        <v>489</v>
      </c>
      <c r="BA220" s="11" t="s">
        <v>62</v>
      </c>
      <c r="BC220" s="34">
        <f t="shared" si="75"/>
        <v>0</v>
      </c>
      <c r="BD220" s="34">
        <f t="shared" si="76"/>
        <v>0</v>
      </c>
      <c r="BE220" s="34">
        <v>0</v>
      </c>
      <c r="BF220" s="34">
        <f t="shared" si="77"/>
        <v>1.8720000000000001E-2</v>
      </c>
      <c r="BH220" s="34">
        <f t="shared" si="78"/>
        <v>0</v>
      </c>
      <c r="BI220" s="34">
        <f t="shared" si="79"/>
        <v>0</v>
      </c>
      <c r="BJ220" s="34">
        <f t="shared" si="80"/>
        <v>0</v>
      </c>
      <c r="BK220" s="34"/>
      <c r="BL220" s="34">
        <v>89</v>
      </c>
      <c r="BW220" s="34" t="str">
        <f t="shared" si="81"/>
        <v>21</v>
      </c>
    </row>
    <row r="221" spans="1:75" ht="13.5" customHeight="1" x14ac:dyDescent="0.25">
      <c r="A221" s="42" t="s">
        <v>523</v>
      </c>
      <c r="B221" s="43" t="s">
        <v>51</v>
      </c>
      <c r="C221" s="43" t="s">
        <v>524</v>
      </c>
      <c r="D221" s="135" t="s">
        <v>525</v>
      </c>
      <c r="E221" s="136"/>
      <c r="F221" s="43" t="s">
        <v>487</v>
      </c>
      <c r="G221" s="44">
        <v>2</v>
      </c>
      <c r="H221" s="44"/>
      <c r="I221" s="45" t="s">
        <v>59</v>
      </c>
      <c r="J221" s="44">
        <f t="shared" si="56"/>
        <v>0</v>
      </c>
      <c r="K221" s="44">
        <f t="shared" si="57"/>
        <v>0</v>
      </c>
      <c r="L221" s="44">
        <f t="shared" si="58"/>
        <v>0</v>
      </c>
      <c r="M221" s="44">
        <f t="shared" si="59"/>
        <v>0</v>
      </c>
      <c r="N221" s="44">
        <v>6.4999999999999997E-4</v>
      </c>
      <c r="O221" s="44">
        <f t="shared" si="60"/>
        <v>1.2999999999999999E-3</v>
      </c>
      <c r="P221" s="46" t="s">
        <v>779</v>
      </c>
      <c r="Z221" s="34">
        <f t="shared" si="61"/>
        <v>0</v>
      </c>
      <c r="AB221" s="34">
        <f t="shared" si="62"/>
        <v>0</v>
      </c>
      <c r="AC221" s="34">
        <f t="shared" si="63"/>
        <v>0</v>
      </c>
      <c r="AD221" s="34">
        <f t="shared" si="64"/>
        <v>0</v>
      </c>
      <c r="AE221" s="34">
        <f t="shared" si="65"/>
        <v>0</v>
      </c>
      <c r="AF221" s="34">
        <f t="shared" si="66"/>
        <v>0</v>
      </c>
      <c r="AG221" s="34">
        <f t="shared" si="67"/>
        <v>0</v>
      </c>
      <c r="AH221" s="34">
        <f t="shared" si="68"/>
        <v>0</v>
      </c>
      <c r="AI221" s="11" t="s">
        <v>51</v>
      </c>
      <c r="AJ221" s="44">
        <f t="shared" si="69"/>
        <v>0</v>
      </c>
      <c r="AK221" s="44">
        <f t="shared" si="70"/>
        <v>0</v>
      </c>
      <c r="AL221" s="44">
        <f t="shared" si="71"/>
        <v>0</v>
      </c>
      <c r="AN221" s="34">
        <v>21</v>
      </c>
      <c r="AO221" s="34">
        <f>H221*1</f>
        <v>0</v>
      </c>
      <c r="AP221" s="34">
        <f>H221*(1-1)</f>
        <v>0</v>
      </c>
      <c r="AQ221" s="45" t="s">
        <v>55</v>
      </c>
      <c r="AV221" s="34">
        <f t="shared" si="72"/>
        <v>0</v>
      </c>
      <c r="AW221" s="34">
        <f t="shared" si="73"/>
        <v>0</v>
      </c>
      <c r="AX221" s="34">
        <f t="shared" si="74"/>
        <v>0</v>
      </c>
      <c r="AY221" s="35" t="s">
        <v>488</v>
      </c>
      <c r="AZ221" s="35" t="s">
        <v>489</v>
      </c>
      <c r="BA221" s="11" t="s">
        <v>62</v>
      </c>
      <c r="BC221" s="34">
        <f t="shared" si="75"/>
        <v>0</v>
      </c>
      <c r="BD221" s="34">
        <f t="shared" si="76"/>
        <v>0</v>
      </c>
      <c r="BE221" s="34">
        <v>0</v>
      </c>
      <c r="BF221" s="34">
        <f t="shared" si="77"/>
        <v>1.2999999999999999E-3</v>
      </c>
      <c r="BH221" s="44">
        <f t="shared" si="78"/>
        <v>0</v>
      </c>
      <c r="BI221" s="44">
        <f t="shared" si="79"/>
        <v>0</v>
      </c>
      <c r="BJ221" s="44">
        <f t="shared" si="80"/>
        <v>0</v>
      </c>
      <c r="BK221" s="44"/>
      <c r="BL221" s="34">
        <v>89</v>
      </c>
      <c r="BW221" s="34" t="str">
        <f t="shared" si="81"/>
        <v>21</v>
      </c>
    </row>
    <row r="222" spans="1:75" ht="13.5" customHeight="1" x14ac:dyDescent="0.25">
      <c r="A222" s="42" t="s">
        <v>526</v>
      </c>
      <c r="B222" s="43" t="s">
        <v>51</v>
      </c>
      <c r="C222" s="43" t="s">
        <v>527</v>
      </c>
      <c r="D222" s="135" t="s">
        <v>528</v>
      </c>
      <c r="E222" s="136"/>
      <c r="F222" s="43" t="s">
        <v>487</v>
      </c>
      <c r="G222" s="44">
        <v>1</v>
      </c>
      <c r="H222" s="44"/>
      <c r="I222" s="45" t="s">
        <v>59</v>
      </c>
      <c r="J222" s="44">
        <f t="shared" si="56"/>
        <v>0</v>
      </c>
      <c r="K222" s="44">
        <f t="shared" si="57"/>
        <v>0</v>
      </c>
      <c r="L222" s="44">
        <f t="shared" si="58"/>
        <v>0</v>
      </c>
      <c r="M222" s="44">
        <f t="shared" si="59"/>
        <v>0</v>
      </c>
      <c r="N222" s="44">
        <v>0.06</v>
      </c>
      <c r="O222" s="44">
        <f t="shared" si="60"/>
        <v>0.06</v>
      </c>
      <c r="P222" s="46" t="s">
        <v>779</v>
      </c>
      <c r="Z222" s="34">
        <f t="shared" si="61"/>
        <v>0</v>
      </c>
      <c r="AB222" s="34">
        <f t="shared" si="62"/>
        <v>0</v>
      </c>
      <c r="AC222" s="34">
        <f t="shared" si="63"/>
        <v>0</v>
      </c>
      <c r="AD222" s="34">
        <f t="shared" si="64"/>
        <v>0</v>
      </c>
      <c r="AE222" s="34">
        <f t="shared" si="65"/>
        <v>0</v>
      </c>
      <c r="AF222" s="34">
        <f t="shared" si="66"/>
        <v>0</v>
      </c>
      <c r="AG222" s="34">
        <f t="shared" si="67"/>
        <v>0</v>
      </c>
      <c r="AH222" s="34">
        <f t="shared" si="68"/>
        <v>0</v>
      </c>
      <c r="AI222" s="11" t="s">
        <v>51</v>
      </c>
      <c r="AJ222" s="44">
        <f t="shared" si="69"/>
        <v>0</v>
      </c>
      <c r="AK222" s="44">
        <f t="shared" si="70"/>
        <v>0</v>
      </c>
      <c r="AL222" s="44">
        <f t="shared" si="71"/>
        <v>0</v>
      </c>
      <c r="AN222" s="34">
        <v>21</v>
      </c>
      <c r="AO222" s="34">
        <f>H222*1</f>
        <v>0</v>
      </c>
      <c r="AP222" s="34">
        <f>H222*(1-1)</f>
        <v>0</v>
      </c>
      <c r="AQ222" s="45" t="s">
        <v>55</v>
      </c>
      <c r="AV222" s="34">
        <f t="shared" si="72"/>
        <v>0</v>
      </c>
      <c r="AW222" s="34">
        <f t="shared" si="73"/>
        <v>0</v>
      </c>
      <c r="AX222" s="34">
        <f t="shared" si="74"/>
        <v>0</v>
      </c>
      <c r="AY222" s="35" t="s">
        <v>488</v>
      </c>
      <c r="AZ222" s="35" t="s">
        <v>489</v>
      </c>
      <c r="BA222" s="11" t="s">
        <v>62</v>
      </c>
      <c r="BC222" s="34">
        <f t="shared" si="75"/>
        <v>0</v>
      </c>
      <c r="BD222" s="34">
        <f t="shared" si="76"/>
        <v>0</v>
      </c>
      <c r="BE222" s="34">
        <v>0</v>
      </c>
      <c r="BF222" s="34">
        <f t="shared" si="77"/>
        <v>0.06</v>
      </c>
      <c r="BH222" s="44">
        <f t="shared" si="78"/>
        <v>0</v>
      </c>
      <c r="BI222" s="44">
        <f t="shared" si="79"/>
        <v>0</v>
      </c>
      <c r="BJ222" s="44">
        <f t="shared" si="80"/>
        <v>0</v>
      </c>
      <c r="BK222" s="44"/>
      <c r="BL222" s="34">
        <v>89</v>
      </c>
      <c r="BW222" s="34" t="str">
        <f t="shared" si="81"/>
        <v>21</v>
      </c>
    </row>
    <row r="223" spans="1:75" ht="13.5" customHeight="1" x14ac:dyDescent="0.25">
      <c r="A223" s="42" t="s">
        <v>529</v>
      </c>
      <c r="B223" s="43" t="s">
        <v>51</v>
      </c>
      <c r="C223" s="43" t="s">
        <v>530</v>
      </c>
      <c r="D223" s="135" t="s">
        <v>531</v>
      </c>
      <c r="E223" s="136"/>
      <c r="F223" s="43" t="s">
        <v>487</v>
      </c>
      <c r="G223" s="44">
        <v>1</v>
      </c>
      <c r="H223" s="44"/>
      <c r="I223" s="45" t="s">
        <v>59</v>
      </c>
      <c r="J223" s="44">
        <f t="shared" si="56"/>
        <v>0</v>
      </c>
      <c r="K223" s="44">
        <f t="shared" si="57"/>
        <v>0</v>
      </c>
      <c r="L223" s="44">
        <f t="shared" si="58"/>
        <v>0</v>
      </c>
      <c r="M223" s="44">
        <f t="shared" si="59"/>
        <v>0</v>
      </c>
      <c r="N223" s="44">
        <v>1.1000000000000001E-3</v>
      </c>
      <c r="O223" s="44">
        <f t="shared" si="60"/>
        <v>1.1000000000000001E-3</v>
      </c>
      <c r="P223" s="46" t="s">
        <v>779</v>
      </c>
      <c r="Z223" s="34">
        <f t="shared" si="61"/>
        <v>0</v>
      </c>
      <c r="AB223" s="34">
        <f t="shared" si="62"/>
        <v>0</v>
      </c>
      <c r="AC223" s="34">
        <f t="shared" si="63"/>
        <v>0</v>
      </c>
      <c r="AD223" s="34">
        <f t="shared" si="64"/>
        <v>0</v>
      </c>
      <c r="AE223" s="34">
        <f t="shared" si="65"/>
        <v>0</v>
      </c>
      <c r="AF223" s="34">
        <f t="shared" si="66"/>
        <v>0</v>
      </c>
      <c r="AG223" s="34">
        <f t="shared" si="67"/>
        <v>0</v>
      </c>
      <c r="AH223" s="34">
        <f t="shared" si="68"/>
        <v>0</v>
      </c>
      <c r="AI223" s="11" t="s">
        <v>51</v>
      </c>
      <c r="AJ223" s="44">
        <f t="shared" si="69"/>
        <v>0</v>
      </c>
      <c r="AK223" s="44">
        <f t="shared" si="70"/>
        <v>0</v>
      </c>
      <c r="AL223" s="44">
        <f t="shared" si="71"/>
        <v>0</v>
      </c>
      <c r="AN223" s="34">
        <v>21</v>
      </c>
      <c r="AO223" s="34">
        <f>H223*1</f>
        <v>0</v>
      </c>
      <c r="AP223" s="34">
        <f>H223*(1-1)</f>
        <v>0</v>
      </c>
      <c r="AQ223" s="45" t="s">
        <v>55</v>
      </c>
      <c r="AV223" s="34">
        <f t="shared" si="72"/>
        <v>0</v>
      </c>
      <c r="AW223" s="34">
        <f t="shared" si="73"/>
        <v>0</v>
      </c>
      <c r="AX223" s="34">
        <f t="shared" si="74"/>
        <v>0</v>
      </c>
      <c r="AY223" s="35" t="s">
        <v>488</v>
      </c>
      <c r="AZ223" s="35" t="s">
        <v>489</v>
      </c>
      <c r="BA223" s="11" t="s">
        <v>62</v>
      </c>
      <c r="BC223" s="34">
        <f t="shared" si="75"/>
        <v>0</v>
      </c>
      <c r="BD223" s="34">
        <f t="shared" si="76"/>
        <v>0</v>
      </c>
      <c r="BE223" s="34">
        <v>0</v>
      </c>
      <c r="BF223" s="34">
        <f t="shared" si="77"/>
        <v>1.1000000000000001E-3</v>
      </c>
      <c r="BH223" s="44">
        <f t="shared" si="78"/>
        <v>0</v>
      </c>
      <c r="BI223" s="44">
        <f t="shared" si="79"/>
        <v>0</v>
      </c>
      <c r="BJ223" s="44">
        <f t="shared" si="80"/>
        <v>0</v>
      </c>
      <c r="BK223" s="44"/>
      <c r="BL223" s="34">
        <v>89</v>
      </c>
      <c r="BW223" s="34" t="str">
        <f t="shared" si="81"/>
        <v>21</v>
      </c>
    </row>
    <row r="224" spans="1:75" x14ac:dyDescent="0.25">
      <c r="A224" s="30" t="s">
        <v>50</v>
      </c>
      <c r="B224" s="31" t="s">
        <v>51</v>
      </c>
      <c r="C224" s="31" t="s">
        <v>452</v>
      </c>
      <c r="D224" s="130" t="s">
        <v>532</v>
      </c>
      <c r="E224" s="131"/>
      <c r="F224" s="32" t="s">
        <v>3</v>
      </c>
      <c r="G224" s="32" t="s">
        <v>3</v>
      </c>
      <c r="H224" s="32" t="s">
        <v>3</v>
      </c>
      <c r="I224" s="32" t="s">
        <v>3</v>
      </c>
      <c r="J224" s="1">
        <f>SUM(J225:J270)</f>
        <v>0</v>
      </c>
      <c r="K224" s="1">
        <f>SUM(K225:K270)</f>
        <v>0</v>
      </c>
      <c r="L224" s="1">
        <f>SUM(L225:L270)</f>
        <v>0</v>
      </c>
      <c r="M224" s="1">
        <f>SUM(M225:M270)</f>
        <v>0</v>
      </c>
      <c r="N224" s="11" t="s">
        <v>50</v>
      </c>
      <c r="O224" s="1">
        <f>SUM(O225:O270)</f>
        <v>119.28413057</v>
      </c>
      <c r="P224" s="33" t="s">
        <v>50</v>
      </c>
      <c r="AI224" s="11" t="s">
        <v>51</v>
      </c>
      <c r="AS224" s="1">
        <f>SUM(AJ225:AJ270)</f>
        <v>0</v>
      </c>
      <c r="AT224" s="1">
        <f>SUM(AK225:AK270)</f>
        <v>0</v>
      </c>
      <c r="AU224" s="1">
        <f>SUM(AL225:AL270)</f>
        <v>0</v>
      </c>
    </row>
    <row r="225" spans="1:75" ht="13.5" customHeight="1" x14ac:dyDescent="0.25">
      <c r="A225" s="2" t="s">
        <v>533</v>
      </c>
      <c r="B225" s="3" t="s">
        <v>51</v>
      </c>
      <c r="C225" s="3" t="s">
        <v>534</v>
      </c>
      <c r="D225" s="76" t="s">
        <v>535</v>
      </c>
      <c r="E225" s="77"/>
      <c r="F225" s="3" t="s">
        <v>487</v>
      </c>
      <c r="G225" s="34">
        <v>3</v>
      </c>
      <c r="H225" s="34"/>
      <c r="I225" s="35" t="s">
        <v>59</v>
      </c>
      <c r="J225" s="34">
        <f>G225*AO225</f>
        <v>0</v>
      </c>
      <c r="K225" s="34">
        <f>G225*AP225</f>
        <v>0</v>
      </c>
      <c r="L225" s="34">
        <f>G225*H225</f>
        <v>0</v>
      </c>
      <c r="M225" s="34">
        <f>L225*(1+BW225/100)</f>
        <v>0</v>
      </c>
      <c r="N225" s="34">
        <v>0</v>
      </c>
      <c r="O225" s="34">
        <f>G225*N225</f>
        <v>0</v>
      </c>
      <c r="P225" s="36" t="s">
        <v>50</v>
      </c>
      <c r="Z225" s="34">
        <f>IF(AQ225="5",BJ225,0)</f>
        <v>0</v>
      </c>
      <c r="AB225" s="34">
        <f>IF(AQ225="1",BH225,0)</f>
        <v>0</v>
      </c>
      <c r="AC225" s="34">
        <f>IF(AQ225="1",BI225,0)</f>
        <v>0</v>
      </c>
      <c r="AD225" s="34">
        <f>IF(AQ225="7",BH225,0)</f>
        <v>0</v>
      </c>
      <c r="AE225" s="34">
        <f>IF(AQ225="7",BI225,0)</f>
        <v>0</v>
      </c>
      <c r="AF225" s="34">
        <f>IF(AQ225="2",BH225,0)</f>
        <v>0</v>
      </c>
      <c r="AG225" s="34">
        <f>IF(AQ225="2",BI225,0)</f>
        <v>0</v>
      </c>
      <c r="AH225" s="34">
        <f>IF(AQ225="0",BJ225,0)</f>
        <v>0</v>
      </c>
      <c r="AI225" s="11" t="s">
        <v>51</v>
      </c>
      <c r="AJ225" s="34">
        <f>IF(AN225=0,L225,0)</f>
        <v>0</v>
      </c>
      <c r="AK225" s="34">
        <f>IF(AN225=12,L225,0)</f>
        <v>0</v>
      </c>
      <c r="AL225" s="34">
        <f>IF(AN225=21,L225,0)</f>
        <v>0</v>
      </c>
      <c r="AN225" s="34">
        <v>21</v>
      </c>
      <c r="AO225" s="34">
        <f>H225*0.788096386</f>
        <v>0</v>
      </c>
      <c r="AP225" s="34">
        <f>H225*(1-0.788096386)</f>
        <v>0</v>
      </c>
      <c r="AQ225" s="35" t="s">
        <v>55</v>
      </c>
      <c r="AV225" s="34">
        <f>AW225+AX225</f>
        <v>0</v>
      </c>
      <c r="AW225" s="34">
        <f>G225*AO225</f>
        <v>0</v>
      </c>
      <c r="AX225" s="34">
        <f>G225*AP225</f>
        <v>0</v>
      </c>
      <c r="AY225" s="35" t="s">
        <v>536</v>
      </c>
      <c r="AZ225" s="35" t="s">
        <v>537</v>
      </c>
      <c r="BA225" s="11" t="s">
        <v>62</v>
      </c>
      <c r="BC225" s="34">
        <f>AW225+AX225</f>
        <v>0</v>
      </c>
      <c r="BD225" s="34">
        <f>H225/(100-BE225)*100</f>
        <v>0</v>
      </c>
      <c r="BE225" s="34">
        <v>0</v>
      </c>
      <c r="BF225" s="34">
        <f>O225</f>
        <v>0</v>
      </c>
      <c r="BH225" s="34">
        <f>G225*AO225</f>
        <v>0</v>
      </c>
      <c r="BI225" s="34">
        <f>G225*AP225</f>
        <v>0</v>
      </c>
      <c r="BJ225" s="34">
        <f>G225*H225</f>
        <v>0</v>
      </c>
      <c r="BK225" s="34"/>
      <c r="BL225" s="34">
        <v>91</v>
      </c>
      <c r="BW225" s="34" t="str">
        <f>I225</f>
        <v>21</v>
      </c>
    </row>
    <row r="226" spans="1:75" x14ac:dyDescent="0.25">
      <c r="A226" s="37"/>
      <c r="D226" s="38" t="s">
        <v>55</v>
      </c>
      <c r="E226" s="39" t="s">
        <v>538</v>
      </c>
      <c r="G226" s="40">
        <v>1</v>
      </c>
      <c r="P226" s="41"/>
    </row>
    <row r="227" spans="1:75" x14ac:dyDescent="0.25">
      <c r="A227" s="37"/>
      <c r="D227" s="38" t="s">
        <v>55</v>
      </c>
      <c r="E227" s="39" t="s">
        <v>539</v>
      </c>
      <c r="G227" s="40">
        <v>1</v>
      </c>
      <c r="P227" s="41"/>
    </row>
    <row r="228" spans="1:75" x14ac:dyDescent="0.25">
      <c r="A228" s="37"/>
      <c r="D228" s="38" t="s">
        <v>55</v>
      </c>
      <c r="E228" s="39" t="s">
        <v>540</v>
      </c>
      <c r="G228" s="40">
        <v>1</v>
      </c>
      <c r="P228" s="41"/>
    </row>
    <row r="229" spans="1:75" ht="13.5" customHeight="1" x14ac:dyDescent="0.25">
      <c r="A229" s="2" t="s">
        <v>541</v>
      </c>
      <c r="B229" s="3" t="s">
        <v>51</v>
      </c>
      <c r="C229" s="3" t="s">
        <v>542</v>
      </c>
      <c r="D229" s="76" t="s">
        <v>543</v>
      </c>
      <c r="E229" s="77"/>
      <c r="F229" s="3" t="s">
        <v>58</v>
      </c>
      <c r="G229" s="34">
        <v>5.8</v>
      </c>
      <c r="H229" s="34"/>
      <c r="I229" s="35" t="s">
        <v>59</v>
      </c>
      <c r="J229" s="34">
        <f>G229*AO229</f>
        <v>0</v>
      </c>
      <c r="K229" s="34">
        <f>G229*AP229</f>
        <v>0</v>
      </c>
      <c r="L229" s="34">
        <f>G229*H229</f>
        <v>0</v>
      </c>
      <c r="M229" s="34">
        <f>L229*(1+BW229/100)</f>
        <v>0</v>
      </c>
      <c r="N229" s="34">
        <v>1.3999999999999999E-4</v>
      </c>
      <c r="O229" s="34">
        <f>G229*N229</f>
        <v>8.119999999999999E-4</v>
      </c>
      <c r="P229" s="36" t="s">
        <v>779</v>
      </c>
      <c r="Z229" s="34">
        <f>IF(AQ229="5",BJ229,0)</f>
        <v>0</v>
      </c>
      <c r="AB229" s="34">
        <f>IF(AQ229="1",BH229,0)</f>
        <v>0</v>
      </c>
      <c r="AC229" s="34">
        <f>IF(AQ229="1",BI229,0)</f>
        <v>0</v>
      </c>
      <c r="AD229" s="34">
        <f>IF(AQ229="7",BH229,0)</f>
        <v>0</v>
      </c>
      <c r="AE229" s="34">
        <f>IF(AQ229="7",BI229,0)</f>
        <v>0</v>
      </c>
      <c r="AF229" s="34">
        <f>IF(AQ229="2",BH229,0)</f>
        <v>0</v>
      </c>
      <c r="AG229" s="34">
        <f>IF(AQ229="2",BI229,0)</f>
        <v>0</v>
      </c>
      <c r="AH229" s="34">
        <f>IF(AQ229="0",BJ229,0)</f>
        <v>0</v>
      </c>
      <c r="AI229" s="11" t="s">
        <v>51</v>
      </c>
      <c r="AJ229" s="34">
        <f>IF(AN229=0,L229,0)</f>
        <v>0</v>
      </c>
      <c r="AK229" s="34">
        <f>IF(AN229=12,L229,0)</f>
        <v>0</v>
      </c>
      <c r="AL229" s="34">
        <f>IF(AN229=21,L229,0)</f>
        <v>0</v>
      </c>
      <c r="AN229" s="34">
        <v>21</v>
      </c>
      <c r="AO229" s="34">
        <f>H229*0.398296796</f>
        <v>0</v>
      </c>
      <c r="AP229" s="34">
        <f>H229*(1-0.398296796)</f>
        <v>0</v>
      </c>
      <c r="AQ229" s="35" t="s">
        <v>55</v>
      </c>
      <c r="AV229" s="34">
        <f>AW229+AX229</f>
        <v>0</v>
      </c>
      <c r="AW229" s="34">
        <f>G229*AO229</f>
        <v>0</v>
      </c>
      <c r="AX229" s="34">
        <f>G229*AP229</f>
        <v>0</v>
      </c>
      <c r="AY229" s="35" t="s">
        <v>536</v>
      </c>
      <c r="AZ229" s="35" t="s">
        <v>537</v>
      </c>
      <c r="BA229" s="11" t="s">
        <v>62</v>
      </c>
      <c r="BC229" s="34">
        <f>AW229+AX229</f>
        <v>0</v>
      </c>
      <c r="BD229" s="34">
        <f>H229/(100-BE229)*100</f>
        <v>0</v>
      </c>
      <c r="BE229" s="34">
        <v>0</v>
      </c>
      <c r="BF229" s="34">
        <f>O229</f>
        <v>8.119999999999999E-4</v>
      </c>
      <c r="BH229" s="34">
        <f>G229*AO229</f>
        <v>0</v>
      </c>
      <c r="BI229" s="34">
        <f>G229*AP229</f>
        <v>0</v>
      </c>
      <c r="BJ229" s="34">
        <f>G229*H229</f>
        <v>0</v>
      </c>
      <c r="BK229" s="34"/>
      <c r="BL229" s="34">
        <v>91</v>
      </c>
      <c r="BW229" s="34" t="str">
        <f>I229</f>
        <v>21</v>
      </c>
    </row>
    <row r="230" spans="1:75" x14ac:dyDescent="0.25">
      <c r="A230" s="37"/>
      <c r="D230" s="38" t="s">
        <v>544</v>
      </c>
      <c r="E230" s="39" t="s">
        <v>545</v>
      </c>
      <c r="G230" s="40">
        <v>5.8</v>
      </c>
      <c r="P230" s="41"/>
    </row>
    <row r="231" spans="1:75" x14ac:dyDescent="0.25">
      <c r="A231" s="37"/>
      <c r="D231" s="38" t="s">
        <v>50</v>
      </c>
      <c r="E231" s="39" t="s">
        <v>546</v>
      </c>
      <c r="G231" s="40">
        <v>0</v>
      </c>
      <c r="P231" s="41"/>
    </row>
    <row r="232" spans="1:75" ht="13.5" customHeight="1" x14ac:dyDescent="0.25">
      <c r="A232" s="2" t="s">
        <v>547</v>
      </c>
      <c r="B232" s="3" t="s">
        <v>51</v>
      </c>
      <c r="C232" s="3" t="s">
        <v>548</v>
      </c>
      <c r="D232" s="76" t="s">
        <v>549</v>
      </c>
      <c r="E232" s="77"/>
      <c r="F232" s="3" t="s">
        <v>58</v>
      </c>
      <c r="G232" s="34">
        <v>5.8</v>
      </c>
      <c r="H232" s="34"/>
      <c r="I232" s="35" t="s">
        <v>59</v>
      </c>
      <c r="J232" s="34">
        <f>G232*AO232</f>
        <v>0</v>
      </c>
      <c r="K232" s="34">
        <f>G232*AP232</f>
        <v>0</v>
      </c>
      <c r="L232" s="34">
        <f>G232*H232</f>
        <v>0</v>
      </c>
      <c r="M232" s="34">
        <f>L232*(1+BW232/100)</f>
        <v>0</v>
      </c>
      <c r="N232" s="34">
        <v>3.2000000000000003E-4</v>
      </c>
      <c r="O232" s="34">
        <f>G232*N232</f>
        <v>1.856E-3</v>
      </c>
      <c r="P232" s="36" t="s">
        <v>779</v>
      </c>
      <c r="Z232" s="34">
        <f>IF(AQ232="5",BJ232,0)</f>
        <v>0</v>
      </c>
      <c r="AB232" s="34">
        <f>IF(AQ232="1",BH232,0)</f>
        <v>0</v>
      </c>
      <c r="AC232" s="34">
        <f>IF(AQ232="1",BI232,0)</f>
        <v>0</v>
      </c>
      <c r="AD232" s="34">
        <f>IF(AQ232="7",BH232,0)</f>
        <v>0</v>
      </c>
      <c r="AE232" s="34">
        <f>IF(AQ232="7",BI232,0)</f>
        <v>0</v>
      </c>
      <c r="AF232" s="34">
        <f>IF(AQ232="2",BH232,0)</f>
        <v>0</v>
      </c>
      <c r="AG232" s="34">
        <f>IF(AQ232="2",BI232,0)</f>
        <v>0</v>
      </c>
      <c r="AH232" s="34">
        <f>IF(AQ232="0",BJ232,0)</f>
        <v>0</v>
      </c>
      <c r="AI232" s="11" t="s">
        <v>51</v>
      </c>
      <c r="AJ232" s="34">
        <f>IF(AN232=0,L232,0)</f>
        <v>0</v>
      </c>
      <c r="AK232" s="34">
        <f>IF(AN232=12,L232,0)</f>
        <v>0</v>
      </c>
      <c r="AL232" s="34">
        <f>IF(AN232=21,L232,0)</f>
        <v>0</v>
      </c>
      <c r="AN232" s="34">
        <v>21</v>
      </c>
      <c r="AO232" s="34">
        <f>H232*0.691137725</f>
        <v>0</v>
      </c>
      <c r="AP232" s="34">
        <f>H232*(1-0.691137725)</f>
        <v>0</v>
      </c>
      <c r="AQ232" s="35" t="s">
        <v>55</v>
      </c>
      <c r="AV232" s="34">
        <f>AW232+AX232</f>
        <v>0</v>
      </c>
      <c r="AW232" s="34">
        <f>G232*AO232</f>
        <v>0</v>
      </c>
      <c r="AX232" s="34">
        <f>G232*AP232</f>
        <v>0</v>
      </c>
      <c r="AY232" s="35" t="s">
        <v>536</v>
      </c>
      <c r="AZ232" s="35" t="s">
        <v>537</v>
      </c>
      <c r="BA232" s="11" t="s">
        <v>62</v>
      </c>
      <c r="BC232" s="34">
        <f>AW232+AX232</f>
        <v>0</v>
      </c>
      <c r="BD232" s="34">
        <f>H232/(100-BE232)*100</f>
        <v>0</v>
      </c>
      <c r="BE232" s="34">
        <v>0</v>
      </c>
      <c r="BF232" s="34">
        <f>O232</f>
        <v>1.856E-3</v>
      </c>
      <c r="BH232" s="34">
        <f>G232*AO232</f>
        <v>0</v>
      </c>
      <c r="BI232" s="34">
        <f>G232*AP232</f>
        <v>0</v>
      </c>
      <c r="BJ232" s="34">
        <f>G232*H232</f>
        <v>0</v>
      </c>
      <c r="BK232" s="34"/>
      <c r="BL232" s="34">
        <v>91</v>
      </c>
      <c r="BW232" s="34" t="str">
        <f>I232</f>
        <v>21</v>
      </c>
    </row>
    <row r="233" spans="1:75" ht="13.5" customHeight="1" x14ac:dyDescent="0.25">
      <c r="A233" s="2" t="s">
        <v>550</v>
      </c>
      <c r="B233" s="3" t="s">
        <v>51</v>
      </c>
      <c r="C233" s="3" t="s">
        <v>551</v>
      </c>
      <c r="D233" s="76" t="s">
        <v>552</v>
      </c>
      <c r="E233" s="77"/>
      <c r="F233" s="3" t="s">
        <v>115</v>
      </c>
      <c r="G233" s="34">
        <v>14.1</v>
      </c>
      <c r="H233" s="34"/>
      <c r="I233" s="35" t="s">
        <v>59</v>
      </c>
      <c r="J233" s="34">
        <f>G233*AO233</f>
        <v>0</v>
      </c>
      <c r="K233" s="34">
        <f>G233*AP233</f>
        <v>0</v>
      </c>
      <c r="L233" s="34">
        <f>G233*H233</f>
        <v>0</v>
      </c>
      <c r="M233" s="34">
        <f>L233*(1+BW233/100)</f>
        <v>0</v>
      </c>
      <c r="N233" s="34">
        <v>3.6999999999999999E-4</v>
      </c>
      <c r="O233" s="34">
        <f>G233*N233</f>
        <v>5.2169999999999994E-3</v>
      </c>
      <c r="P233" s="36" t="s">
        <v>779</v>
      </c>
      <c r="Z233" s="34">
        <f>IF(AQ233="5",BJ233,0)</f>
        <v>0</v>
      </c>
      <c r="AB233" s="34">
        <f>IF(AQ233="1",BH233,0)</f>
        <v>0</v>
      </c>
      <c r="AC233" s="34">
        <f>IF(AQ233="1",BI233,0)</f>
        <v>0</v>
      </c>
      <c r="AD233" s="34">
        <f>IF(AQ233="7",BH233,0)</f>
        <v>0</v>
      </c>
      <c r="AE233" s="34">
        <f>IF(AQ233="7",BI233,0)</f>
        <v>0</v>
      </c>
      <c r="AF233" s="34">
        <f>IF(AQ233="2",BH233,0)</f>
        <v>0</v>
      </c>
      <c r="AG233" s="34">
        <f>IF(AQ233="2",BI233,0)</f>
        <v>0</v>
      </c>
      <c r="AH233" s="34">
        <f>IF(AQ233="0",BJ233,0)</f>
        <v>0</v>
      </c>
      <c r="AI233" s="11" t="s">
        <v>51</v>
      </c>
      <c r="AJ233" s="34">
        <f>IF(AN233=0,L233,0)</f>
        <v>0</v>
      </c>
      <c r="AK233" s="34">
        <f>IF(AN233=12,L233,0)</f>
        <v>0</v>
      </c>
      <c r="AL233" s="34">
        <f>IF(AN233=21,L233,0)</f>
        <v>0</v>
      </c>
      <c r="AN233" s="34">
        <v>21</v>
      </c>
      <c r="AO233" s="34">
        <f>H233*0.448166601</f>
        <v>0</v>
      </c>
      <c r="AP233" s="34">
        <f>H233*(1-0.448166601)</f>
        <v>0</v>
      </c>
      <c r="AQ233" s="35" t="s">
        <v>55</v>
      </c>
      <c r="AV233" s="34">
        <f>AW233+AX233</f>
        <v>0</v>
      </c>
      <c r="AW233" s="34">
        <f>G233*AO233</f>
        <v>0</v>
      </c>
      <c r="AX233" s="34">
        <f>G233*AP233</f>
        <v>0</v>
      </c>
      <c r="AY233" s="35" t="s">
        <v>536</v>
      </c>
      <c r="AZ233" s="35" t="s">
        <v>537</v>
      </c>
      <c r="BA233" s="11" t="s">
        <v>62</v>
      </c>
      <c r="BC233" s="34">
        <f>AW233+AX233</f>
        <v>0</v>
      </c>
      <c r="BD233" s="34">
        <f>H233/(100-BE233)*100</f>
        <v>0</v>
      </c>
      <c r="BE233" s="34">
        <v>0</v>
      </c>
      <c r="BF233" s="34">
        <f>O233</f>
        <v>5.2169999999999994E-3</v>
      </c>
      <c r="BH233" s="34">
        <f>G233*AO233</f>
        <v>0</v>
      </c>
      <c r="BI233" s="34">
        <f>G233*AP233</f>
        <v>0</v>
      </c>
      <c r="BJ233" s="34">
        <f>G233*H233</f>
        <v>0</v>
      </c>
      <c r="BK233" s="34"/>
      <c r="BL233" s="34">
        <v>91</v>
      </c>
      <c r="BW233" s="34" t="str">
        <f>I233</f>
        <v>21</v>
      </c>
    </row>
    <row r="234" spans="1:75" ht="13.5" customHeight="1" x14ac:dyDescent="0.25">
      <c r="A234" s="37"/>
      <c r="D234" s="132" t="s">
        <v>553</v>
      </c>
      <c r="E234" s="133"/>
      <c r="F234" s="133"/>
      <c r="G234" s="133"/>
      <c r="H234" s="133"/>
      <c r="I234" s="133"/>
      <c r="J234" s="133"/>
      <c r="K234" s="133"/>
      <c r="L234" s="133"/>
      <c r="M234" s="133"/>
      <c r="N234" s="133"/>
      <c r="O234" s="133"/>
      <c r="P234" s="134"/>
    </row>
    <row r="235" spans="1:75" x14ac:dyDescent="0.25">
      <c r="A235" s="37"/>
      <c r="D235" s="38" t="s">
        <v>554</v>
      </c>
      <c r="E235" s="39" t="s">
        <v>555</v>
      </c>
      <c r="G235" s="40">
        <v>14.1</v>
      </c>
      <c r="P235" s="41"/>
    </row>
    <row r="236" spans="1:75" ht="13.5" customHeight="1" x14ac:dyDescent="0.25">
      <c r="A236" s="2" t="s">
        <v>556</v>
      </c>
      <c r="B236" s="3" t="s">
        <v>51</v>
      </c>
      <c r="C236" s="3" t="s">
        <v>557</v>
      </c>
      <c r="D236" s="76" t="s">
        <v>558</v>
      </c>
      <c r="E236" s="77"/>
      <c r="F236" s="3" t="s">
        <v>115</v>
      </c>
      <c r="G236" s="34">
        <v>14.1</v>
      </c>
      <c r="H236" s="34"/>
      <c r="I236" s="35" t="s">
        <v>59</v>
      </c>
      <c r="J236" s="34">
        <f>G236*AO236</f>
        <v>0</v>
      </c>
      <c r="K236" s="34">
        <f>G236*AP236</f>
        <v>0</v>
      </c>
      <c r="L236" s="34">
        <f>G236*H236</f>
        <v>0</v>
      </c>
      <c r="M236" s="34">
        <f>L236*(1+BW236/100)</f>
        <v>0</v>
      </c>
      <c r="N236" s="34">
        <v>4.0000000000000003E-5</v>
      </c>
      <c r="O236" s="34">
        <f>G236*N236</f>
        <v>5.6400000000000005E-4</v>
      </c>
      <c r="P236" s="36" t="s">
        <v>779</v>
      </c>
      <c r="Z236" s="34">
        <f>IF(AQ236="5",BJ236,0)</f>
        <v>0</v>
      </c>
      <c r="AB236" s="34">
        <f>IF(AQ236="1",BH236,0)</f>
        <v>0</v>
      </c>
      <c r="AC236" s="34">
        <f>IF(AQ236="1",BI236,0)</f>
        <v>0</v>
      </c>
      <c r="AD236" s="34">
        <f>IF(AQ236="7",BH236,0)</f>
        <v>0</v>
      </c>
      <c r="AE236" s="34">
        <f>IF(AQ236="7",BI236,0)</f>
        <v>0</v>
      </c>
      <c r="AF236" s="34">
        <f>IF(AQ236="2",BH236,0)</f>
        <v>0</v>
      </c>
      <c r="AG236" s="34">
        <f>IF(AQ236="2",BI236,0)</f>
        <v>0</v>
      </c>
      <c r="AH236" s="34">
        <f>IF(AQ236="0",BJ236,0)</f>
        <v>0</v>
      </c>
      <c r="AI236" s="11" t="s">
        <v>51</v>
      </c>
      <c r="AJ236" s="34">
        <f>IF(AN236=0,L236,0)</f>
        <v>0</v>
      </c>
      <c r="AK236" s="34">
        <f>IF(AN236=12,L236,0)</f>
        <v>0</v>
      </c>
      <c r="AL236" s="34">
        <f>IF(AN236=21,L236,0)</f>
        <v>0</v>
      </c>
      <c r="AN236" s="34">
        <v>21</v>
      </c>
      <c r="AO236" s="34">
        <f>H236*0.218004988</f>
        <v>0</v>
      </c>
      <c r="AP236" s="34">
        <f>H236*(1-0.218004988)</f>
        <v>0</v>
      </c>
      <c r="AQ236" s="35" t="s">
        <v>55</v>
      </c>
      <c r="AV236" s="34">
        <f>AW236+AX236</f>
        <v>0</v>
      </c>
      <c r="AW236" s="34">
        <f>G236*AO236</f>
        <v>0</v>
      </c>
      <c r="AX236" s="34">
        <f>G236*AP236</f>
        <v>0</v>
      </c>
      <c r="AY236" s="35" t="s">
        <v>536</v>
      </c>
      <c r="AZ236" s="35" t="s">
        <v>537</v>
      </c>
      <c r="BA236" s="11" t="s">
        <v>62</v>
      </c>
      <c r="BC236" s="34">
        <f>AW236+AX236</f>
        <v>0</v>
      </c>
      <c r="BD236" s="34">
        <f>H236/(100-BE236)*100</f>
        <v>0</v>
      </c>
      <c r="BE236" s="34">
        <v>0</v>
      </c>
      <c r="BF236" s="34">
        <f>O236</f>
        <v>5.6400000000000005E-4</v>
      </c>
      <c r="BH236" s="34">
        <f>G236*AO236</f>
        <v>0</v>
      </c>
      <c r="BI236" s="34">
        <f>G236*AP236</f>
        <v>0</v>
      </c>
      <c r="BJ236" s="34">
        <f>G236*H236</f>
        <v>0</v>
      </c>
      <c r="BK236" s="34"/>
      <c r="BL236" s="34">
        <v>91</v>
      </c>
      <c r="BW236" s="34" t="str">
        <f>I236</f>
        <v>21</v>
      </c>
    </row>
    <row r="237" spans="1:75" ht="13.5" customHeight="1" x14ac:dyDescent="0.25">
      <c r="A237" s="2" t="s">
        <v>559</v>
      </c>
      <c r="B237" s="3" t="s">
        <v>51</v>
      </c>
      <c r="C237" s="3" t="s">
        <v>560</v>
      </c>
      <c r="D237" s="76" t="s">
        <v>561</v>
      </c>
      <c r="E237" s="77"/>
      <c r="F237" s="3" t="s">
        <v>58</v>
      </c>
      <c r="G237" s="34">
        <v>1.4139999999999999</v>
      </c>
      <c r="H237" s="34"/>
      <c r="I237" s="35" t="s">
        <v>59</v>
      </c>
      <c r="J237" s="34">
        <f>G237*AO237</f>
        <v>0</v>
      </c>
      <c r="K237" s="34">
        <f>G237*AP237</f>
        <v>0</v>
      </c>
      <c r="L237" s="34">
        <f>G237*H237</f>
        <v>0</v>
      </c>
      <c r="M237" s="34">
        <f>L237*(1+BW237/100)</f>
        <v>0</v>
      </c>
      <c r="N237" s="34">
        <v>7.6000000000000004E-4</v>
      </c>
      <c r="O237" s="34">
        <f>G237*N237</f>
        <v>1.07464E-3</v>
      </c>
      <c r="P237" s="36" t="s">
        <v>779</v>
      </c>
      <c r="Z237" s="34">
        <f>IF(AQ237="5",BJ237,0)</f>
        <v>0</v>
      </c>
      <c r="AB237" s="34">
        <f>IF(AQ237="1",BH237,0)</f>
        <v>0</v>
      </c>
      <c r="AC237" s="34">
        <f>IF(AQ237="1",BI237,0)</f>
        <v>0</v>
      </c>
      <c r="AD237" s="34">
        <f>IF(AQ237="7",BH237,0)</f>
        <v>0</v>
      </c>
      <c r="AE237" s="34">
        <f>IF(AQ237="7",BI237,0)</f>
        <v>0</v>
      </c>
      <c r="AF237" s="34">
        <f>IF(AQ237="2",BH237,0)</f>
        <v>0</v>
      </c>
      <c r="AG237" s="34">
        <f>IF(AQ237="2",BI237,0)</f>
        <v>0</v>
      </c>
      <c r="AH237" s="34">
        <f>IF(AQ237="0",BJ237,0)</f>
        <v>0</v>
      </c>
      <c r="AI237" s="11" t="s">
        <v>51</v>
      </c>
      <c r="AJ237" s="34">
        <f>IF(AN237=0,L237,0)</f>
        <v>0</v>
      </c>
      <c r="AK237" s="34">
        <f>IF(AN237=12,L237,0)</f>
        <v>0</v>
      </c>
      <c r="AL237" s="34">
        <f>IF(AN237=21,L237,0)</f>
        <v>0</v>
      </c>
      <c r="AN237" s="34">
        <v>21</v>
      </c>
      <c r="AO237" s="34">
        <f>H237*0.493923671</f>
        <v>0</v>
      </c>
      <c r="AP237" s="34">
        <f>H237*(1-0.493923671)</f>
        <v>0</v>
      </c>
      <c r="AQ237" s="35" t="s">
        <v>55</v>
      </c>
      <c r="AV237" s="34">
        <f>AW237+AX237</f>
        <v>0</v>
      </c>
      <c r="AW237" s="34">
        <f>G237*AO237</f>
        <v>0</v>
      </c>
      <c r="AX237" s="34">
        <f>G237*AP237</f>
        <v>0</v>
      </c>
      <c r="AY237" s="35" t="s">
        <v>536</v>
      </c>
      <c r="AZ237" s="35" t="s">
        <v>537</v>
      </c>
      <c r="BA237" s="11" t="s">
        <v>62</v>
      </c>
      <c r="BC237" s="34">
        <f>AW237+AX237</f>
        <v>0</v>
      </c>
      <c r="BD237" s="34">
        <f>H237/(100-BE237)*100</f>
        <v>0</v>
      </c>
      <c r="BE237" s="34">
        <v>0</v>
      </c>
      <c r="BF237" s="34">
        <f>O237</f>
        <v>1.07464E-3</v>
      </c>
      <c r="BH237" s="34">
        <f>G237*AO237</f>
        <v>0</v>
      </c>
      <c r="BI237" s="34">
        <f>G237*AP237</f>
        <v>0</v>
      </c>
      <c r="BJ237" s="34">
        <f>G237*H237</f>
        <v>0</v>
      </c>
      <c r="BK237" s="34"/>
      <c r="BL237" s="34">
        <v>91</v>
      </c>
      <c r="BW237" s="34" t="str">
        <f>I237</f>
        <v>21</v>
      </c>
    </row>
    <row r="238" spans="1:75" ht="13.5" customHeight="1" x14ac:dyDescent="0.25">
      <c r="A238" s="37"/>
      <c r="D238" s="132" t="s">
        <v>553</v>
      </c>
      <c r="E238" s="133"/>
      <c r="F238" s="133"/>
      <c r="G238" s="133"/>
      <c r="H238" s="133"/>
      <c r="I238" s="133"/>
      <c r="J238" s="133"/>
      <c r="K238" s="133"/>
      <c r="L238" s="133"/>
      <c r="M238" s="133"/>
      <c r="N238" s="133"/>
      <c r="O238" s="133"/>
      <c r="P238" s="134"/>
    </row>
    <row r="239" spans="1:75" x14ac:dyDescent="0.25">
      <c r="A239" s="37"/>
      <c r="D239" s="38" t="s">
        <v>562</v>
      </c>
      <c r="E239" s="39" t="s">
        <v>563</v>
      </c>
      <c r="G239" s="40">
        <v>1.4139999999999999</v>
      </c>
      <c r="P239" s="41"/>
    </row>
    <row r="240" spans="1:75" ht="13.5" customHeight="1" x14ac:dyDescent="0.25">
      <c r="A240" s="2" t="s">
        <v>564</v>
      </c>
      <c r="B240" s="3" t="s">
        <v>51</v>
      </c>
      <c r="C240" s="3" t="s">
        <v>565</v>
      </c>
      <c r="D240" s="76" t="s">
        <v>566</v>
      </c>
      <c r="E240" s="77"/>
      <c r="F240" s="3" t="s">
        <v>58</v>
      </c>
      <c r="G240" s="34">
        <v>1.41</v>
      </c>
      <c r="H240" s="34"/>
      <c r="I240" s="35" t="s">
        <v>59</v>
      </c>
      <c r="J240" s="34">
        <f>G240*AO240</f>
        <v>0</v>
      </c>
      <c r="K240" s="34">
        <f>G240*AP240</f>
        <v>0</v>
      </c>
      <c r="L240" s="34">
        <f>G240*H240</f>
        <v>0</v>
      </c>
      <c r="M240" s="34">
        <f>L240*(1+BW240/100)</f>
        <v>0</v>
      </c>
      <c r="N240" s="34">
        <v>3.2000000000000003E-4</v>
      </c>
      <c r="O240" s="34">
        <f>G240*N240</f>
        <v>4.5120000000000002E-4</v>
      </c>
      <c r="P240" s="36" t="s">
        <v>779</v>
      </c>
      <c r="Z240" s="34">
        <f>IF(AQ240="5",BJ240,0)</f>
        <v>0</v>
      </c>
      <c r="AB240" s="34">
        <f>IF(AQ240="1",BH240,0)</f>
        <v>0</v>
      </c>
      <c r="AC240" s="34">
        <f>IF(AQ240="1",BI240,0)</f>
        <v>0</v>
      </c>
      <c r="AD240" s="34">
        <f>IF(AQ240="7",BH240,0)</f>
        <v>0</v>
      </c>
      <c r="AE240" s="34">
        <f>IF(AQ240="7",BI240,0)</f>
        <v>0</v>
      </c>
      <c r="AF240" s="34">
        <f>IF(AQ240="2",BH240,0)</f>
        <v>0</v>
      </c>
      <c r="AG240" s="34">
        <f>IF(AQ240="2",BI240,0)</f>
        <v>0</v>
      </c>
      <c r="AH240" s="34">
        <f>IF(AQ240="0",BJ240,0)</f>
        <v>0</v>
      </c>
      <c r="AI240" s="11" t="s">
        <v>51</v>
      </c>
      <c r="AJ240" s="34">
        <f>IF(AN240=0,L240,0)</f>
        <v>0</v>
      </c>
      <c r="AK240" s="34">
        <f>IF(AN240=12,L240,0)</f>
        <v>0</v>
      </c>
      <c r="AL240" s="34">
        <f>IF(AN240=21,L240,0)</f>
        <v>0</v>
      </c>
      <c r="AN240" s="34">
        <v>21</v>
      </c>
      <c r="AO240" s="34">
        <f>H240*0.691108374</f>
        <v>0</v>
      </c>
      <c r="AP240" s="34">
        <f>H240*(1-0.691108374)</f>
        <v>0</v>
      </c>
      <c r="AQ240" s="35" t="s">
        <v>55</v>
      </c>
      <c r="AV240" s="34">
        <f>AW240+AX240</f>
        <v>0</v>
      </c>
      <c r="AW240" s="34">
        <f>G240*AO240</f>
        <v>0</v>
      </c>
      <c r="AX240" s="34">
        <f>G240*AP240</f>
        <v>0</v>
      </c>
      <c r="AY240" s="35" t="s">
        <v>536</v>
      </c>
      <c r="AZ240" s="35" t="s">
        <v>537</v>
      </c>
      <c r="BA240" s="11" t="s">
        <v>62</v>
      </c>
      <c r="BC240" s="34">
        <f>AW240+AX240</f>
        <v>0</v>
      </c>
      <c r="BD240" s="34">
        <f>H240/(100-BE240)*100</f>
        <v>0</v>
      </c>
      <c r="BE240" s="34">
        <v>0</v>
      </c>
      <c r="BF240" s="34">
        <f>O240</f>
        <v>4.5120000000000002E-4</v>
      </c>
      <c r="BH240" s="34">
        <f>G240*AO240</f>
        <v>0</v>
      </c>
      <c r="BI240" s="34">
        <f>G240*AP240</f>
        <v>0</v>
      </c>
      <c r="BJ240" s="34">
        <f>G240*H240</f>
        <v>0</v>
      </c>
      <c r="BK240" s="34"/>
      <c r="BL240" s="34">
        <v>91</v>
      </c>
      <c r="BW240" s="34" t="str">
        <f>I240</f>
        <v>21</v>
      </c>
    </row>
    <row r="241" spans="1:75" ht="13.5" customHeight="1" x14ac:dyDescent="0.25">
      <c r="A241" s="2" t="s">
        <v>567</v>
      </c>
      <c r="B241" s="3" t="s">
        <v>51</v>
      </c>
      <c r="C241" s="3" t="s">
        <v>568</v>
      </c>
      <c r="D241" s="76" t="s">
        <v>569</v>
      </c>
      <c r="E241" s="77"/>
      <c r="F241" s="3" t="s">
        <v>115</v>
      </c>
      <c r="G241" s="34">
        <v>14.1</v>
      </c>
      <c r="H241" s="34"/>
      <c r="I241" s="35" t="s">
        <v>59</v>
      </c>
      <c r="J241" s="34">
        <f>G241*AO241</f>
        <v>0</v>
      </c>
      <c r="K241" s="34">
        <f>G241*AP241</f>
        <v>0</v>
      </c>
      <c r="L241" s="34">
        <f>G241*H241</f>
        <v>0</v>
      </c>
      <c r="M241" s="34">
        <f>L241*(1+BW241/100)</f>
        <v>0</v>
      </c>
      <c r="N241" s="34">
        <v>0</v>
      </c>
      <c r="O241" s="34">
        <f>G241*N241</f>
        <v>0</v>
      </c>
      <c r="P241" s="36" t="s">
        <v>779</v>
      </c>
      <c r="Z241" s="34">
        <f>IF(AQ241="5",BJ241,0)</f>
        <v>0</v>
      </c>
      <c r="AB241" s="34">
        <f>IF(AQ241="1",BH241,0)</f>
        <v>0</v>
      </c>
      <c r="AC241" s="34">
        <f>IF(AQ241="1",BI241,0)</f>
        <v>0</v>
      </c>
      <c r="AD241" s="34">
        <f>IF(AQ241="7",BH241,0)</f>
        <v>0</v>
      </c>
      <c r="AE241" s="34">
        <f>IF(AQ241="7",BI241,0)</f>
        <v>0</v>
      </c>
      <c r="AF241" s="34">
        <f>IF(AQ241="2",BH241,0)</f>
        <v>0</v>
      </c>
      <c r="AG241" s="34">
        <f>IF(AQ241="2",BI241,0)</f>
        <v>0</v>
      </c>
      <c r="AH241" s="34">
        <f>IF(AQ241="0",BJ241,0)</f>
        <v>0</v>
      </c>
      <c r="AI241" s="11" t="s">
        <v>51</v>
      </c>
      <c r="AJ241" s="34">
        <f>IF(AN241=0,L241,0)</f>
        <v>0</v>
      </c>
      <c r="AK241" s="34">
        <f>IF(AN241=12,L241,0)</f>
        <v>0</v>
      </c>
      <c r="AL241" s="34">
        <f>IF(AN241=21,L241,0)</f>
        <v>0</v>
      </c>
      <c r="AN241" s="34">
        <v>21</v>
      </c>
      <c r="AO241" s="34">
        <f>H241*0.111786469</f>
        <v>0</v>
      </c>
      <c r="AP241" s="34">
        <f>H241*(1-0.111786469)</f>
        <v>0</v>
      </c>
      <c r="AQ241" s="35" t="s">
        <v>55</v>
      </c>
      <c r="AV241" s="34">
        <f>AW241+AX241</f>
        <v>0</v>
      </c>
      <c r="AW241" s="34">
        <f>G241*AO241</f>
        <v>0</v>
      </c>
      <c r="AX241" s="34">
        <f>G241*AP241</f>
        <v>0</v>
      </c>
      <c r="AY241" s="35" t="s">
        <v>536</v>
      </c>
      <c r="AZ241" s="35" t="s">
        <v>537</v>
      </c>
      <c r="BA241" s="11" t="s">
        <v>62</v>
      </c>
      <c r="BC241" s="34">
        <f>AW241+AX241</f>
        <v>0</v>
      </c>
      <c r="BD241" s="34">
        <f>H241/(100-BE241)*100</f>
        <v>0</v>
      </c>
      <c r="BE241" s="34">
        <v>0</v>
      </c>
      <c r="BF241" s="34">
        <f>O241</f>
        <v>0</v>
      </c>
      <c r="BH241" s="34">
        <f>G241*AO241</f>
        <v>0</v>
      </c>
      <c r="BI241" s="34">
        <f>G241*AP241</f>
        <v>0</v>
      </c>
      <c r="BJ241" s="34">
        <f>G241*H241</f>
        <v>0</v>
      </c>
      <c r="BK241" s="34"/>
      <c r="BL241" s="34">
        <v>91</v>
      </c>
      <c r="BW241" s="34" t="str">
        <f>I241</f>
        <v>21</v>
      </c>
    </row>
    <row r="242" spans="1:75" x14ac:dyDescent="0.25">
      <c r="A242" s="37"/>
      <c r="D242" s="38" t="s">
        <v>554</v>
      </c>
      <c r="E242" s="39" t="s">
        <v>570</v>
      </c>
      <c r="G242" s="40">
        <v>14.1</v>
      </c>
      <c r="P242" s="41"/>
    </row>
    <row r="243" spans="1:75" ht="13.5" customHeight="1" x14ac:dyDescent="0.25">
      <c r="A243" s="2" t="s">
        <v>571</v>
      </c>
      <c r="B243" s="3" t="s">
        <v>51</v>
      </c>
      <c r="C243" s="3" t="s">
        <v>572</v>
      </c>
      <c r="D243" s="76" t="s">
        <v>573</v>
      </c>
      <c r="E243" s="77"/>
      <c r="F243" s="3" t="s">
        <v>58</v>
      </c>
      <c r="G243" s="34">
        <v>7.21</v>
      </c>
      <c r="H243" s="34"/>
      <c r="I243" s="35" t="s">
        <v>59</v>
      </c>
      <c r="J243" s="34">
        <f>G243*AO243</f>
        <v>0</v>
      </c>
      <c r="K243" s="34">
        <f>G243*AP243</f>
        <v>0</v>
      </c>
      <c r="L243" s="34">
        <f>G243*H243</f>
        <v>0</v>
      </c>
      <c r="M243" s="34">
        <f>L243*(1+BW243/100)</f>
        <v>0</v>
      </c>
      <c r="N243" s="34">
        <v>0</v>
      </c>
      <c r="O243" s="34">
        <f>G243*N243</f>
        <v>0</v>
      </c>
      <c r="P243" s="36" t="s">
        <v>779</v>
      </c>
      <c r="Z243" s="34">
        <f>IF(AQ243="5",BJ243,0)</f>
        <v>0</v>
      </c>
      <c r="AB243" s="34">
        <f>IF(AQ243="1",BH243,0)</f>
        <v>0</v>
      </c>
      <c r="AC243" s="34">
        <f>IF(AQ243="1",BI243,0)</f>
        <v>0</v>
      </c>
      <c r="AD243" s="34">
        <f>IF(AQ243="7",BH243,0)</f>
        <v>0</v>
      </c>
      <c r="AE243" s="34">
        <f>IF(AQ243="7",BI243,0)</f>
        <v>0</v>
      </c>
      <c r="AF243" s="34">
        <f>IF(AQ243="2",BH243,0)</f>
        <v>0</v>
      </c>
      <c r="AG243" s="34">
        <f>IF(AQ243="2",BI243,0)</f>
        <v>0</v>
      </c>
      <c r="AH243" s="34">
        <f>IF(AQ243="0",BJ243,0)</f>
        <v>0</v>
      </c>
      <c r="AI243" s="11" t="s">
        <v>51</v>
      </c>
      <c r="AJ243" s="34">
        <f>IF(AN243=0,L243,0)</f>
        <v>0</v>
      </c>
      <c r="AK243" s="34">
        <f>IF(AN243=12,L243,0)</f>
        <v>0</v>
      </c>
      <c r="AL243" s="34">
        <f>IF(AN243=21,L243,0)</f>
        <v>0</v>
      </c>
      <c r="AN243" s="34">
        <v>21</v>
      </c>
      <c r="AO243" s="34">
        <f>H243*0.005958678</f>
        <v>0</v>
      </c>
      <c r="AP243" s="34">
        <f>H243*(1-0.005958678)</f>
        <v>0</v>
      </c>
      <c r="AQ243" s="35" t="s">
        <v>55</v>
      </c>
      <c r="AV243" s="34">
        <f>AW243+AX243</f>
        <v>0</v>
      </c>
      <c r="AW243" s="34">
        <f>G243*AO243</f>
        <v>0</v>
      </c>
      <c r="AX243" s="34">
        <f>G243*AP243</f>
        <v>0</v>
      </c>
      <c r="AY243" s="35" t="s">
        <v>536</v>
      </c>
      <c r="AZ243" s="35" t="s">
        <v>537</v>
      </c>
      <c r="BA243" s="11" t="s">
        <v>62</v>
      </c>
      <c r="BC243" s="34">
        <f>AW243+AX243</f>
        <v>0</v>
      </c>
      <c r="BD243" s="34">
        <f>H243/(100-BE243)*100</f>
        <v>0</v>
      </c>
      <c r="BE243" s="34">
        <v>0</v>
      </c>
      <c r="BF243" s="34">
        <f>O243</f>
        <v>0</v>
      </c>
      <c r="BH243" s="34">
        <f>G243*AO243</f>
        <v>0</v>
      </c>
      <c r="BI243" s="34">
        <f>G243*AP243</f>
        <v>0</v>
      </c>
      <c r="BJ243" s="34">
        <f>G243*H243</f>
        <v>0</v>
      </c>
      <c r="BK243" s="34"/>
      <c r="BL243" s="34">
        <v>91</v>
      </c>
      <c r="BW243" s="34" t="str">
        <f>I243</f>
        <v>21</v>
      </c>
    </row>
    <row r="244" spans="1:75" x14ac:dyDescent="0.25">
      <c r="A244" s="37"/>
      <c r="D244" s="38" t="s">
        <v>574</v>
      </c>
      <c r="E244" s="39" t="s">
        <v>570</v>
      </c>
      <c r="G244" s="40">
        <v>7.21</v>
      </c>
      <c r="P244" s="41"/>
    </row>
    <row r="245" spans="1:75" ht="13.5" customHeight="1" x14ac:dyDescent="0.25">
      <c r="A245" s="2" t="s">
        <v>575</v>
      </c>
      <c r="B245" s="3" t="s">
        <v>51</v>
      </c>
      <c r="C245" s="3" t="s">
        <v>576</v>
      </c>
      <c r="D245" s="76" t="s">
        <v>577</v>
      </c>
      <c r="E245" s="77"/>
      <c r="F245" s="3" t="s">
        <v>115</v>
      </c>
      <c r="G245" s="34">
        <v>73.44</v>
      </c>
      <c r="H245" s="34"/>
      <c r="I245" s="35" t="s">
        <v>59</v>
      </c>
      <c r="J245" s="34">
        <f>G245*AO245</f>
        <v>0</v>
      </c>
      <c r="K245" s="34">
        <f>G245*AP245</f>
        <v>0</v>
      </c>
      <c r="L245" s="34">
        <f>G245*H245</f>
        <v>0</v>
      </c>
      <c r="M245" s="34">
        <f>L245*(1+BW245/100)</f>
        <v>0</v>
      </c>
      <c r="N245" s="34">
        <v>0.24657999999999999</v>
      </c>
      <c r="O245" s="34">
        <f>G245*N245</f>
        <v>18.108835199999998</v>
      </c>
      <c r="P245" s="36" t="s">
        <v>779</v>
      </c>
      <c r="Z245" s="34">
        <f>IF(AQ245="5",BJ245,0)</f>
        <v>0</v>
      </c>
      <c r="AB245" s="34">
        <f>IF(AQ245="1",BH245,0)</f>
        <v>0</v>
      </c>
      <c r="AC245" s="34">
        <f>IF(AQ245="1",BI245,0)</f>
        <v>0</v>
      </c>
      <c r="AD245" s="34">
        <f>IF(AQ245="7",BH245,0)</f>
        <v>0</v>
      </c>
      <c r="AE245" s="34">
        <f>IF(AQ245="7",BI245,0)</f>
        <v>0</v>
      </c>
      <c r="AF245" s="34">
        <f>IF(AQ245="2",BH245,0)</f>
        <v>0</v>
      </c>
      <c r="AG245" s="34">
        <f>IF(AQ245="2",BI245,0)</f>
        <v>0</v>
      </c>
      <c r="AH245" s="34">
        <f>IF(AQ245="0",BJ245,0)</f>
        <v>0</v>
      </c>
      <c r="AI245" s="11" t="s">
        <v>51</v>
      </c>
      <c r="AJ245" s="34">
        <f>IF(AN245=0,L245,0)</f>
        <v>0</v>
      </c>
      <c r="AK245" s="34">
        <f>IF(AN245=12,L245,0)</f>
        <v>0</v>
      </c>
      <c r="AL245" s="34">
        <f>IF(AN245=21,L245,0)</f>
        <v>0</v>
      </c>
      <c r="AN245" s="34">
        <v>21</v>
      </c>
      <c r="AO245" s="34">
        <f>H245*0.764187466</f>
        <v>0</v>
      </c>
      <c r="AP245" s="34">
        <f>H245*(1-0.764187466)</f>
        <v>0</v>
      </c>
      <c r="AQ245" s="35" t="s">
        <v>55</v>
      </c>
      <c r="AV245" s="34">
        <f>AW245+AX245</f>
        <v>0</v>
      </c>
      <c r="AW245" s="34">
        <f>G245*AO245</f>
        <v>0</v>
      </c>
      <c r="AX245" s="34">
        <f>G245*AP245</f>
        <v>0</v>
      </c>
      <c r="AY245" s="35" t="s">
        <v>536</v>
      </c>
      <c r="AZ245" s="35" t="s">
        <v>537</v>
      </c>
      <c r="BA245" s="11" t="s">
        <v>62</v>
      </c>
      <c r="BC245" s="34">
        <f>AW245+AX245</f>
        <v>0</v>
      </c>
      <c r="BD245" s="34">
        <f>H245/(100-BE245)*100</f>
        <v>0</v>
      </c>
      <c r="BE245" s="34">
        <v>0</v>
      </c>
      <c r="BF245" s="34">
        <f>O245</f>
        <v>18.108835199999998</v>
      </c>
      <c r="BH245" s="34">
        <f>G245*AO245</f>
        <v>0</v>
      </c>
      <c r="BI245" s="34">
        <f>G245*AP245</f>
        <v>0</v>
      </c>
      <c r="BJ245" s="34">
        <f>G245*H245</f>
        <v>0</v>
      </c>
      <c r="BK245" s="34"/>
      <c r="BL245" s="34">
        <v>91</v>
      </c>
      <c r="BW245" s="34" t="str">
        <f>I245</f>
        <v>21</v>
      </c>
    </row>
    <row r="246" spans="1:75" ht="13.5" customHeight="1" x14ac:dyDescent="0.25">
      <c r="A246" s="37"/>
      <c r="D246" s="132" t="s">
        <v>578</v>
      </c>
      <c r="E246" s="133"/>
      <c r="F246" s="133"/>
      <c r="G246" s="133"/>
      <c r="H246" s="133"/>
      <c r="I246" s="133"/>
      <c r="J246" s="133"/>
      <c r="K246" s="133"/>
      <c r="L246" s="133"/>
      <c r="M246" s="133"/>
      <c r="N246" s="133"/>
      <c r="O246" s="133"/>
      <c r="P246" s="134"/>
    </row>
    <row r="247" spans="1:75" x14ac:dyDescent="0.25">
      <c r="A247" s="37"/>
      <c r="D247" s="38" t="s">
        <v>579</v>
      </c>
      <c r="E247" s="39" t="s">
        <v>50</v>
      </c>
      <c r="G247" s="40">
        <v>73.44</v>
      </c>
      <c r="P247" s="41"/>
    </row>
    <row r="248" spans="1:75" ht="13.5" customHeight="1" x14ac:dyDescent="0.25">
      <c r="A248" s="2" t="s">
        <v>580</v>
      </c>
      <c r="B248" s="3" t="s">
        <v>51</v>
      </c>
      <c r="C248" s="3" t="s">
        <v>581</v>
      </c>
      <c r="D248" s="76" t="s">
        <v>577</v>
      </c>
      <c r="E248" s="77"/>
      <c r="F248" s="3" t="s">
        <v>115</v>
      </c>
      <c r="G248" s="34">
        <v>85.350999999999999</v>
      </c>
      <c r="H248" s="34"/>
      <c r="I248" s="35" t="s">
        <v>59</v>
      </c>
      <c r="J248" s="34">
        <f>G248*AO248</f>
        <v>0</v>
      </c>
      <c r="K248" s="34">
        <f>G248*AP248</f>
        <v>0</v>
      </c>
      <c r="L248" s="34">
        <f>G248*H248</f>
        <v>0</v>
      </c>
      <c r="M248" s="34">
        <f>L248*(1+BW248/100)</f>
        <v>0</v>
      </c>
      <c r="N248" s="34">
        <v>0.26980999999999999</v>
      </c>
      <c r="O248" s="34">
        <f>G248*N248</f>
        <v>23.028553309999999</v>
      </c>
      <c r="P248" s="36" t="s">
        <v>779</v>
      </c>
      <c r="Z248" s="34">
        <f>IF(AQ248="5",BJ248,0)</f>
        <v>0</v>
      </c>
      <c r="AB248" s="34">
        <f>IF(AQ248="1",BH248,0)</f>
        <v>0</v>
      </c>
      <c r="AC248" s="34">
        <f>IF(AQ248="1",BI248,0)</f>
        <v>0</v>
      </c>
      <c r="AD248" s="34">
        <f>IF(AQ248="7",BH248,0)</f>
        <v>0</v>
      </c>
      <c r="AE248" s="34">
        <f>IF(AQ248="7",BI248,0)</f>
        <v>0</v>
      </c>
      <c r="AF248" s="34">
        <f>IF(AQ248="2",BH248,0)</f>
        <v>0</v>
      </c>
      <c r="AG248" s="34">
        <f>IF(AQ248="2",BI248,0)</f>
        <v>0</v>
      </c>
      <c r="AH248" s="34">
        <f>IF(AQ248="0",BJ248,0)</f>
        <v>0</v>
      </c>
      <c r="AI248" s="11" t="s">
        <v>51</v>
      </c>
      <c r="AJ248" s="34">
        <f>IF(AN248=0,L248,0)</f>
        <v>0</v>
      </c>
      <c r="AK248" s="34">
        <f>IF(AN248=12,L248,0)</f>
        <v>0</v>
      </c>
      <c r="AL248" s="34">
        <f>IF(AN248=21,L248,0)</f>
        <v>0</v>
      </c>
      <c r="AN248" s="34">
        <v>21</v>
      </c>
      <c r="AO248" s="34">
        <f>H248*0.779125368</f>
        <v>0</v>
      </c>
      <c r="AP248" s="34">
        <f>H248*(1-0.779125368)</f>
        <v>0</v>
      </c>
      <c r="AQ248" s="35" t="s">
        <v>55</v>
      </c>
      <c r="AV248" s="34">
        <f>AW248+AX248</f>
        <v>0</v>
      </c>
      <c r="AW248" s="34">
        <f>G248*AO248</f>
        <v>0</v>
      </c>
      <c r="AX248" s="34">
        <f>G248*AP248</f>
        <v>0</v>
      </c>
      <c r="AY248" s="35" t="s">
        <v>536</v>
      </c>
      <c r="AZ248" s="35" t="s">
        <v>537</v>
      </c>
      <c r="BA248" s="11" t="s">
        <v>62</v>
      </c>
      <c r="BC248" s="34">
        <f>AW248+AX248</f>
        <v>0</v>
      </c>
      <c r="BD248" s="34">
        <f>H248/(100-BE248)*100</f>
        <v>0</v>
      </c>
      <c r="BE248" s="34">
        <v>0</v>
      </c>
      <c r="BF248" s="34">
        <f>O248</f>
        <v>23.028553309999999</v>
      </c>
      <c r="BH248" s="34">
        <f>G248*AO248</f>
        <v>0</v>
      </c>
      <c r="BI248" s="34">
        <f>G248*AP248</f>
        <v>0</v>
      </c>
      <c r="BJ248" s="34">
        <f>G248*H248</f>
        <v>0</v>
      </c>
      <c r="BK248" s="34"/>
      <c r="BL248" s="34">
        <v>91</v>
      </c>
      <c r="BW248" s="34" t="str">
        <f>I248</f>
        <v>21</v>
      </c>
    </row>
    <row r="249" spans="1:75" ht="13.5" customHeight="1" x14ac:dyDescent="0.25">
      <c r="A249" s="37"/>
      <c r="D249" s="132" t="s">
        <v>582</v>
      </c>
      <c r="E249" s="133"/>
      <c r="F249" s="133"/>
      <c r="G249" s="133"/>
      <c r="H249" s="133"/>
      <c r="I249" s="133"/>
      <c r="J249" s="133"/>
      <c r="K249" s="133"/>
      <c r="L249" s="133"/>
      <c r="M249" s="133"/>
      <c r="N249" s="133"/>
      <c r="O249" s="133"/>
      <c r="P249" s="134"/>
    </row>
    <row r="250" spans="1:75" x14ac:dyDescent="0.25">
      <c r="A250" s="37"/>
      <c r="D250" s="38" t="s">
        <v>583</v>
      </c>
      <c r="E250" s="39" t="s">
        <v>50</v>
      </c>
      <c r="G250" s="40">
        <v>85.350999999999999</v>
      </c>
      <c r="P250" s="41"/>
    </row>
    <row r="251" spans="1:75" ht="13.5" customHeight="1" x14ac:dyDescent="0.25">
      <c r="A251" s="2" t="s">
        <v>584</v>
      </c>
      <c r="B251" s="3" t="s">
        <v>51</v>
      </c>
      <c r="C251" s="3" t="s">
        <v>585</v>
      </c>
      <c r="D251" s="76" t="s">
        <v>577</v>
      </c>
      <c r="E251" s="77"/>
      <c r="F251" s="3" t="s">
        <v>115</v>
      </c>
      <c r="G251" s="34">
        <v>34.65</v>
      </c>
      <c r="H251" s="34"/>
      <c r="I251" s="35" t="s">
        <v>59</v>
      </c>
      <c r="J251" s="34">
        <f>G251*AO251</f>
        <v>0</v>
      </c>
      <c r="K251" s="34">
        <f>G251*AP251</f>
        <v>0</v>
      </c>
      <c r="L251" s="34">
        <f>G251*H251</f>
        <v>0</v>
      </c>
      <c r="M251" s="34">
        <f>L251*(1+BW251/100)</f>
        <v>0</v>
      </c>
      <c r="N251" s="34">
        <v>0.28233000000000003</v>
      </c>
      <c r="O251" s="34">
        <f>G251*N251</f>
        <v>9.7827345000000001</v>
      </c>
      <c r="P251" s="36" t="s">
        <v>779</v>
      </c>
      <c r="Z251" s="34">
        <f>IF(AQ251="5",BJ251,0)</f>
        <v>0</v>
      </c>
      <c r="AB251" s="34">
        <f>IF(AQ251="1",BH251,0)</f>
        <v>0</v>
      </c>
      <c r="AC251" s="34">
        <f>IF(AQ251="1",BI251,0)</f>
        <v>0</v>
      </c>
      <c r="AD251" s="34">
        <f>IF(AQ251="7",BH251,0)</f>
        <v>0</v>
      </c>
      <c r="AE251" s="34">
        <f>IF(AQ251="7",BI251,0)</f>
        <v>0</v>
      </c>
      <c r="AF251" s="34">
        <f>IF(AQ251="2",BH251,0)</f>
        <v>0</v>
      </c>
      <c r="AG251" s="34">
        <f>IF(AQ251="2",BI251,0)</f>
        <v>0</v>
      </c>
      <c r="AH251" s="34">
        <f>IF(AQ251="0",BJ251,0)</f>
        <v>0</v>
      </c>
      <c r="AI251" s="11" t="s">
        <v>51</v>
      </c>
      <c r="AJ251" s="34">
        <f>IF(AN251=0,L251,0)</f>
        <v>0</v>
      </c>
      <c r="AK251" s="34">
        <f>IF(AN251=12,L251,0)</f>
        <v>0</v>
      </c>
      <c r="AL251" s="34">
        <f>IF(AN251=21,L251,0)</f>
        <v>0</v>
      </c>
      <c r="AN251" s="34">
        <v>21</v>
      </c>
      <c r="AO251" s="34">
        <f>H251*0.788381503</f>
        <v>0</v>
      </c>
      <c r="AP251" s="34">
        <f>H251*(1-0.788381503)</f>
        <v>0</v>
      </c>
      <c r="AQ251" s="35" t="s">
        <v>55</v>
      </c>
      <c r="AV251" s="34">
        <f>AW251+AX251</f>
        <v>0</v>
      </c>
      <c r="AW251" s="34">
        <f>G251*AO251</f>
        <v>0</v>
      </c>
      <c r="AX251" s="34">
        <f>G251*AP251</f>
        <v>0</v>
      </c>
      <c r="AY251" s="35" t="s">
        <v>536</v>
      </c>
      <c r="AZ251" s="35" t="s">
        <v>537</v>
      </c>
      <c r="BA251" s="11" t="s">
        <v>62</v>
      </c>
      <c r="BC251" s="34">
        <f>AW251+AX251</f>
        <v>0</v>
      </c>
      <c r="BD251" s="34">
        <f>H251/(100-BE251)*100</f>
        <v>0</v>
      </c>
      <c r="BE251" s="34">
        <v>0</v>
      </c>
      <c r="BF251" s="34">
        <f>O251</f>
        <v>9.7827345000000001</v>
      </c>
      <c r="BH251" s="34">
        <f>G251*AO251</f>
        <v>0</v>
      </c>
      <c r="BI251" s="34">
        <f>G251*AP251</f>
        <v>0</v>
      </c>
      <c r="BJ251" s="34">
        <f>G251*H251</f>
        <v>0</v>
      </c>
      <c r="BK251" s="34"/>
      <c r="BL251" s="34">
        <v>91</v>
      </c>
      <c r="BW251" s="34" t="str">
        <f>I251</f>
        <v>21</v>
      </c>
    </row>
    <row r="252" spans="1:75" ht="13.5" customHeight="1" x14ac:dyDescent="0.25">
      <c r="A252" s="37"/>
      <c r="D252" s="132" t="s">
        <v>586</v>
      </c>
      <c r="E252" s="133"/>
      <c r="F252" s="133"/>
      <c r="G252" s="133"/>
      <c r="H252" s="133"/>
      <c r="I252" s="133"/>
      <c r="J252" s="133"/>
      <c r="K252" s="133"/>
      <c r="L252" s="133"/>
      <c r="M252" s="133"/>
      <c r="N252" s="133"/>
      <c r="O252" s="133"/>
      <c r="P252" s="134"/>
    </row>
    <row r="253" spans="1:75" x14ac:dyDescent="0.25">
      <c r="A253" s="37"/>
      <c r="D253" s="38" t="s">
        <v>587</v>
      </c>
      <c r="E253" s="39" t="s">
        <v>50</v>
      </c>
      <c r="G253" s="40">
        <v>34.65</v>
      </c>
      <c r="P253" s="41"/>
    </row>
    <row r="254" spans="1:75" ht="13.5" customHeight="1" x14ac:dyDescent="0.25">
      <c r="A254" s="2" t="s">
        <v>588</v>
      </c>
      <c r="B254" s="3" t="s">
        <v>51</v>
      </c>
      <c r="C254" s="3" t="s">
        <v>589</v>
      </c>
      <c r="D254" s="76" t="s">
        <v>577</v>
      </c>
      <c r="E254" s="77"/>
      <c r="F254" s="3" t="s">
        <v>115</v>
      </c>
      <c r="G254" s="34">
        <v>119.107</v>
      </c>
      <c r="H254" s="34"/>
      <c r="I254" s="35" t="s">
        <v>59</v>
      </c>
      <c r="J254" s="34">
        <f>G254*AO254</f>
        <v>0</v>
      </c>
      <c r="K254" s="34">
        <f>G254*AP254</f>
        <v>0</v>
      </c>
      <c r="L254" s="34">
        <f>G254*H254</f>
        <v>0</v>
      </c>
      <c r="M254" s="34">
        <f>L254*(1+BW254/100)</f>
        <v>0</v>
      </c>
      <c r="N254" s="34">
        <v>0.19520000000000001</v>
      </c>
      <c r="O254" s="34">
        <f>G254*N254</f>
        <v>23.249686400000002</v>
      </c>
      <c r="P254" s="36" t="s">
        <v>779</v>
      </c>
      <c r="Z254" s="34">
        <f>IF(AQ254="5",BJ254,0)</f>
        <v>0</v>
      </c>
      <c r="AB254" s="34">
        <f>IF(AQ254="1",BH254,0)</f>
        <v>0</v>
      </c>
      <c r="AC254" s="34">
        <f>IF(AQ254="1",BI254,0)</f>
        <v>0</v>
      </c>
      <c r="AD254" s="34">
        <f>IF(AQ254="7",BH254,0)</f>
        <v>0</v>
      </c>
      <c r="AE254" s="34">
        <f>IF(AQ254="7",BI254,0)</f>
        <v>0</v>
      </c>
      <c r="AF254" s="34">
        <f>IF(AQ254="2",BH254,0)</f>
        <v>0</v>
      </c>
      <c r="AG254" s="34">
        <f>IF(AQ254="2",BI254,0)</f>
        <v>0</v>
      </c>
      <c r="AH254" s="34">
        <f>IF(AQ254="0",BJ254,0)</f>
        <v>0</v>
      </c>
      <c r="AI254" s="11" t="s">
        <v>51</v>
      </c>
      <c r="AJ254" s="34">
        <f>IF(AN254=0,L254,0)</f>
        <v>0</v>
      </c>
      <c r="AK254" s="34">
        <f>IF(AN254=12,L254,0)</f>
        <v>0</v>
      </c>
      <c r="AL254" s="34">
        <f>IF(AN254=21,L254,0)</f>
        <v>0</v>
      </c>
      <c r="AN254" s="34">
        <v>21</v>
      </c>
      <c r="AO254" s="34">
        <f>H254*0.733744895</f>
        <v>0</v>
      </c>
      <c r="AP254" s="34">
        <f>H254*(1-0.733744895)</f>
        <v>0</v>
      </c>
      <c r="AQ254" s="35" t="s">
        <v>55</v>
      </c>
      <c r="AV254" s="34">
        <f>AW254+AX254</f>
        <v>0</v>
      </c>
      <c r="AW254" s="34">
        <f>G254*AO254</f>
        <v>0</v>
      </c>
      <c r="AX254" s="34">
        <f>G254*AP254</f>
        <v>0</v>
      </c>
      <c r="AY254" s="35" t="s">
        <v>536</v>
      </c>
      <c r="AZ254" s="35" t="s">
        <v>537</v>
      </c>
      <c r="BA254" s="11" t="s">
        <v>62</v>
      </c>
      <c r="BC254" s="34">
        <f>AW254+AX254</f>
        <v>0</v>
      </c>
      <c r="BD254" s="34">
        <f>H254/(100-BE254)*100</f>
        <v>0</v>
      </c>
      <c r="BE254" s="34">
        <v>0</v>
      </c>
      <c r="BF254" s="34">
        <f>O254</f>
        <v>23.249686400000002</v>
      </c>
      <c r="BH254" s="34">
        <f>G254*AO254</f>
        <v>0</v>
      </c>
      <c r="BI254" s="34">
        <f>G254*AP254</f>
        <v>0</v>
      </c>
      <c r="BJ254" s="34">
        <f>G254*H254</f>
        <v>0</v>
      </c>
      <c r="BK254" s="34"/>
      <c r="BL254" s="34">
        <v>91</v>
      </c>
      <c r="BW254" s="34" t="str">
        <f>I254</f>
        <v>21</v>
      </c>
    </row>
    <row r="255" spans="1:75" ht="13.5" customHeight="1" x14ac:dyDescent="0.25">
      <c r="A255" s="37"/>
      <c r="D255" s="132" t="s">
        <v>590</v>
      </c>
      <c r="E255" s="133"/>
      <c r="F255" s="133"/>
      <c r="G255" s="133"/>
      <c r="H255" s="133"/>
      <c r="I255" s="133"/>
      <c r="J255" s="133"/>
      <c r="K255" s="133"/>
      <c r="L255" s="133"/>
      <c r="M255" s="133"/>
      <c r="N255" s="133"/>
      <c r="O255" s="133"/>
      <c r="P255" s="134"/>
    </row>
    <row r="256" spans="1:75" x14ac:dyDescent="0.25">
      <c r="A256" s="37"/>
      <c r="D256" s="38" t="s">
        <v>591</v>
      </c>
      <c r="E256" s="39" t="s">
        <v>50</v>
      </c>
      <c r="G256" s="40">
        <v>119.107</v>
      </c>
      <c r="P256" s="41"/>
    </row>
    <row r="257" spans="1:75" ht="13.5" customHeight="1" x14ac:dyDescent="0.25">
      <c r="A257" s="2" t="s">
        <v>592</v>
      </c>
      <c r="B257" s="3" t="s">
        <v>51</v>
      </c>
      <c r="C257" s="3" t="s">
        <v>593</v>
      </c>
      <c r="D257" s="76" t="s">
        <v>577</v>
      </c>
      <c r="E257" s="77"/>
      <c r="F257" s="3" t="s">
        <v>115</v>
      </c>
      <c r="G257" s="34">
        <v>15.65</v>
      </c>
      <c r="H257" s="34"/>
      <c r="I257" s="35" t="s">
        <v>59</v>
      </c>
      <c r="J257" s="34">
        <f>G257*AO257</f>
        <v>0</v>
      </c>
      <c r="K257" s="34">
        <f>G257*AP257</f>
        <v>0</v>
      </c>
      <c r="L257" s="34">
        <f>G257*H257</f>
        <v>0</v>
      </c>
      <c r="M257" s="34">
        <f>L257*(1+BW257/100)</f>
        <v>0</v>
      </c>
      <c r="N257" s="34">
        <v>0.21115999999999999</v>
      </c>
      <c r="O257" s="34">
        <f>G257*N257</f>
        <v>3.3046539999999998</v>
      </c>
      <c r="P257" s="36" t="s">
        <v>779</v>
      </c>
      <c r="Z257" s="34">
        <f>IF(AQ257="5",BJ257,0)</f>
        <v>0</v>
      </c>
      <c r="AB257" s="34">
        <f>IF(AQ257="1",BH257,0)</f>
        <v>0</v>
      </c>
      <c r="AC257" s="34">
        <f>IF(AQ257="1",BI257,0)</f>
        <v>0</v>
      </c>
      <c r="AD257" s="34">
        <f>IF(AQ257="7",BH257,0)</f>
        <v>0</v>
      </c>
      <c r="AE257" s="34">
        <f>IF(AQ257="7",BI257,0)</f>
        <v>0</v>
      </c>
      <c r="AF257" s="34">
        <f>IF(AQ257="2",BH257,0)</f>
        <v>0</v>
      </c>
      <c r="AG257" s="34">
        <f>IF(AQ257="2",BI257,0)</f>
        <v>0</v>
      </c>
      <c r="AH257" s="34">
        <f>IF(AQ257="0",BJ257,0)</f>
        <v>0</v>
      </c>
      <c r="AI257" s="11" t="s">
        <v>51</v>
      </c>
      <c r="AJ257" s="34">
        <f>IF(AN257=0,L257,0)</f>
        <v>0</v>
      </c>
      <c r="AK257" s="34">
        <f>IF(AN257=12,L257,0)</f>
        <v>0</v>
      </c>
      <c r="AL257" s="34">
        <f>IF(AN257=21,L257,0)</f>
        <v>0</v>
      </c>
      <c r="AN257" s="34">
        <v>21</v>
      </c>
      <c r="AO257" s="34">
        <f>H257*0.833776772</f>
        <v>0</v>
      </c>
      <c r="AP257" s="34">
        <f>H257*(1-0.833776772)</f>
        <v>0</v>
      </c>
      <c r="AQ257" s="35" t="s">
        <v>55</v>
      </c>
      <c r="AV257" s="34">
        <f>AW257+AX257</f>
        <v>0</v>
      </c>
      <c r="AW257" s="34">
        <f>G257*AO257</f>
        <v>0</v>
      </c>
      <c r="AX257" s="34">
        <f>G257*AP257</f>
        <v>0</v>
      </c>
      <c r="AY257" s="35" t="s">
        <v>536</v>
      </c>
      <c r="AZ257" s="35" t="s">
        <v>537</v>
      </c>
      <c r="BA257" s="11" t="s">
        <v>62</v>
      </c>
      <c r="BC257" s="34">
        <f>AW257+AX257</f>
        <v>0</v>
      </c>
      <c r="BD257" s="34">
        <f>H257/(100-BE257)*100</f>
        <v>0</v>
      </c>
      <c r="BE257" s="34">
        <v>0</v>
      </c>
      <c r="BF257" s="34">
        <f>O257</f>
        <v>3.3046539999999998</v>
      </c>
      <c r="BH257" s="34">
        <f>G257*AO257</f>
        <v>0</v>
      </c>
      <c r="BI257" s="34">
        <f>G257*AP257</f>
        <v>0</v>
      </c>
      <c r="BJ257" s="34">
        <f>G257*H257</f>
        <v>0</v>
      </c>
      <c r="BK257" s="34"/>
      <c r="BL257" s="34">
        <v>91</v>
      </c>
      <c r="BW257" s="34" t="str">
        <f>I257</f>
        <v>21</v>
      </c>
    </row>
    <row r="258" spans="1:75" ht="13.5" customHeight="1" x14ac:dyDescent="0.25">
      <c r="A258" s="37"/>
      <c r="D258" s="132" t="s">
        <v>594</v>
      </c>
      <c r="E258" s="133"/>
      <c r="F258" s="133"/>
      <c r="G258" s="133"/>
      <c r="H258" s="133"/>
      <c r="I258" s="133"/>
      <c r="J258" s="133"/>
      <c r="K258" s="133"/>
      <c r="L258" s="133"/>
      <c r="M258" s="133"/>
      <c r="N258" s="133"/>
      <c r="O258" s="133"/>
      <c r="P258" s="134"/>
    </row>
    <row r="259" spans="1:75" x14ac:dyDescent="0.25">
      <c r="A259" s="37"/>
      <c r="D259" s="38" t="s">
        <v>595</v>
      </c>
      <c r="E259" s="39" t="s">
        <v>50</v>
      </c>
      <c r="G259" s="40">
        <v>15.65</v>
      </c>
      <c r="P259" s="41"/>
    </row>
    <row r="260" spans="1:75" ht="13.5" customHeight="1" x14ac:dyDescent="0.25">
      <c r="A260" s="2" t="s">
        <v>596</v>
      </c>
      <c r="B260" s="3" t="s">
        <v>51</v>
      </c>
      <c r="C260" s="3" t="s">
        <v>597</v>
      </c>
      <c r="D260" s="76" t="s">
        <v>598</v>
      </c>
      <c r="E260" s="77"/>
      <c r="F260" s="3" t="s">
        <v>127</v>
      </c>
      <c r="G260" s="34">
        <v>16.41</v>
      </c>
      <c r="H260" s="34"/>
      <c r="I260" s="35" t="s">
        <v>59</v>
      </c>
      <c r="J260" s="34">
        <f>G260*AO260</f>
        <v>0</v>
      </c>
      <c r="K260" s="34">
        <f>G260*AP260</f>
        <v>0</v>
      </c>
      <c r="L260" s="34">
        <f>G260*H260</f>
        <v>0</v>
      </c>
      <c r="M260" s="34">
        <f>L260*(1+BW260/100)</f>
        <v>0</v>
      </c>
      <c r="N260" s="34">
        <v>2.5249999999999999</v>
      </c>
      <c r="O260" s="34">
        <f>G260*N260</f>
        <v>41.435249999999996</v>
      </c>
      <c r="P260" s="36" t="s">
        <v>50</v>
      </c>
      <c r="Z260" s="34">
        <f>IF(AQ260="5",BJ260,0)</f>
        <v>0</v>
      </c>
      <c r="AB260" s="34">
        <f>IF(AQ260="1",BH260,0)</f>
        <v>0</v>
      </c>
      <c r="AC260" s="34">
        <f>IF(AQ260="1",BI260,0)</f>
        <v>0</v>
      </c>
      <c r="AD260" s="34">
        <f>IF(AQ260="7",BH260,0)</f>
        <v>0</v>
      </c>
      <c r="AE260" s="34">
        <f>IF(AQ260="7",BI260,0)</f>
        <v>0</v>
      </c>
      <c r="AF260" s="34">
        <f>IF(AQ260="2",BH260,0)</f>
        <v>0</v>
      </c>
      <c r="AG260" s="34">
        <f>IF(AQ260="2",BI260,0)</f>
        <v>0</v>
      </c>
      <c r="AH260" s="34">
        <f>IF(AQ260="0",BJ260,0)</f>
        <v>0</v>
      </c>
      <c r="AI260" s="11" t="s">
        <v>51</v>
      </c>
      <c r="AJ260" s="34">
        <f>IF(AN260=0,L260,0)</f>
        <v>0</v>
      </c>
      <c r="AK260" s="34">
        <f>IF(AN260=12,L260,0)</f>
        <v>0</v>
      </c>
      <c r="AL260" s="34">
        <f>IF(AN260=21,L260,0)</f>
        <v>0</v>
      </c>
      <c r="AN260" s="34">
        <v>21</v>
      </c>
      <c r="AO260" s="34">
        <f>H260*0.820967924</f>
        <v>0</v>
      </c>
      <c r="AP260" s="34">
        <f>H260*(1-0.820967924)</f>
        <v>0</v>
      </c>
      <c r="AQ260" s="35" t="s">
        <v>55</v>
      </c>
      <c r="AV260" s="34">
        <f>AW260+AX260</f>
        <v>0</v>
      </c>
      <c r="AW260" s="34">
        <f>G260*AO260</f>
        <v>0</v>
      </c>
      <c r="AX260" s="34">
        <f>G260*AP260</f>
        <v>0</v>
      </c>
      <c r="AY260" s="35" t="s">
        <v>536</v>
      </c>
      <c r="AZ260" s="35" t="s">
        <v>537</v>
      </c>
      <c r="BA260" s="11" t="s">
        <v>62</v>
      </c>
      <c r="BC260" s="34">
        <f>AW260+AX260</f>
        <v>0</v>
      </c>
      <c r="BD260" s="34">
        <f>H260/(100-BE260)*100</f>
        <v>0</v>
      </c>
      <c r="BE260" s="34">
        <v>0</v>
      </c>
      <c r="BF260" s="34">
        <f>O260</f>
        <v>41.435249999999996</v>
      </c>
      <c r="BH260" s="34">
        <f>G260*AO260</f>
        <v>0</v>
      </c>
      <c r="BI260" s="34">
        <f>G260*AP260</f>
        <v>0</v>
      </c>
      <c r="BJ260" s="34">
        <f>G260*H260</f>
        <v>0</v>
      </c>
      <c r="BK260" s="34"/>
      <c r="BL260" s="34">
        <v>91</v>
      </c>
      <c r="BW260" s="34" t="str">
        <f>I260</f>
        <v>21</v>
      </c>
    </row>
    <row r="261" spans="1:75" x14ac:dyDescent="0.25">
      <c r="A261" s="37"/>
      <c r="D261" s="38" t="s">
        <v>599</v>
      </c>
      <c r="E261" s="39" t="s">
        <v>50</v>
      </c>
      <c r="G261" s="40">
        <v>16.41</v>
      </c>
      <c r="P261" s="41"/>
    </row>
    <row r="262" spans="1:75" ht="13.5" customHeight="1" x14ac:dyDescent="0.25">
      <c r="A262" s="2" t="s">
        <v>600</v>
      </c>
      <c r="B262" s="3" t="s">
        <v>51</v>
      </c>
      <c r="C262" s="3" t="s">
        <v>601</v>
      </c>
      <c r="D262" s="76" t="s">
        <v>602</v>
      </c>
      <c r="E262" s="77"/>
      <c r="F262" s="3" t="s">
        <v>115</v>
      </c>
      <c r="G262" s="34">
        <v>164.05099999999999</v>
      </c>
      <c r="H262" s="34"/>
      <c r="I262" s="35" t="s">
        <v>59</v>
      </c>
      <c r="J262" s="34">
        <f>G262*AO262</f>
        <v>0</v>
      </c>
      <c r="K262" s="34">
        <f>G262*AP262</f>
        <v>0</v>
      </c>
      <c r="L262" s="34">
        <f>G262*H262</f>
        <v>0</v>
      </c>
      <c r="M262" s="34">
        <f>L262*(1+BW262/100)</f>
        <v>0</v>
      </c>
      <c r="N262" s="34">
        <v>2.0000000000000002E-5</v>
      </c>
      <c r="O262" s="34">
        <f>G262*N262</f>
        <v>3.2810199999999999E-3</v>
      </c>
      <c r="P262" s="36" t="s">
        <v>50</v>
      </c>
      <c r="Z262" s="34">
        <f>IF(AQ262="5",BJ262,0)</f>
        <v>0</v>
      </c>
      <c r="AB262" s="34">
        <f>IF(AQ262="1",BH262,0)</f>
        <v>0</v>
      </c>
      <c r="AC262" s="34">
        <f>IF(AQ262="1",BI262,0)</f>
        <v>0</v>
      </c>
      <c r="AD262" s="34">
        <f>IF(AQ262="7",BH262,0)</f>
        <v>0</v>
      </c>
      <c r="AE262" s="34">
        <f>IF(AQ262="7",BI262,0)</f>
        <v>0</v>
      </c>
      <c r="AF262" s="34">
        <f>IF(AQ262="2",BH262,0)</f>
        <v>0</v>
      </c>
      <c r="AG262" s="34">
        <f>IF(AQ262="2",BI262,0)</f>
        <v>0</v>
      </c>
      <c r="AH262" s="34">
        <f>IF(AQ262="0",BJ262,0)</f>
        <v>0</v>
      </c>
      <c r="AI262" s="11" t="s">
        <v>51</v>
      </c>
      <c r="AJ262" s="34">
        <f>IF(AN262=0,L262,0)</f>
        <v>0</v>
      </c>
      <c r="AK262" s="34">
        <f>IF(AN262=12,L262,0)</f>
        <v>0</v>
      </c>
      <c r="AL262" s="34">
        <f>IF(AN262=21,L262,0)</f>
        <v>0</v>
      </c>
      <c r="AN262" s="34">
        <v>21</v>
      </c>
      <c r="AO262" s="34">
        <f>H262*0.506496953</f>
        <v>0</v>
      </c>
      <c r="AP262" s="34">
        <f>H262*(1-0.506496953)</f>
        <v>0</v>
      </c>
      <c r="AQ262" s="35" t="s">
        <v>55</v>
      </c>
      <c r="AV262" s="34">
        <f>AW262+AX262</f>
        <v>0</v>
      </c>
      <c r="AW262" s="34">
        <f>G262*AO262</f>
        <v>0</v>
      </c>
      <c r="AX262" s="34">
        <f>G262*AP262</f>
        <v>0</v>
      </c>
      <c r="AY262" s="35" t="s">
        <v>536</v>
      </c>
      <c r="AZ262" s="35" t="s">
        <v>537</v>
      </c>
      <c r="BA262" s="11" t="s">
        <v>62</v>
      </c>
      <c r="BC262" s="34">
        <f>AW262+AX262</f>
        <v>0</v>
      </c>
      <c r="BD262" s="34">
        <f>H262/(100-BE262)*100</f>
        <v>0</v>
      </c>
      <c r="BE262" s="34">
        <v>0</v>
      </c>
      <c r="BF262" s="34">
        <f>O262</f>
        <v>3.2810199999999999E-3</v>
      </c>
      <c r="BH262" s="34">
        <f>G262*AO262</f>
        <v>0</v>
      </c>
      <c r="BI262" s="34">
        <f>G262*AP262</f>
        <v>0</v>
      </c>
      <c r="BJ262" s="34">
        <f>G262*H262</f>
        <v>0</v>
      </c>
      <c r="BK262" s="34"/>
      <c r="BL262" s="34">
        <v>91</v>
      </c>
      <c r="BW262" s="34" t="str">
        <f>I262</f>
        <v>21</v>
      </c>
    </row>
    <row r="263" spans="1:75" x14ac:dyDescent="0.25">
      <c r="A263" s="37"/>
      <c r="D263" s="38" t="s">
        <v>603</v>
      </c>
      <c r="E263" s="39" t="s">
        <v>604</v>
      </c>
      <c r="G263" s="40">
        <v>164.05099999999999</v>
      </c>
      <c r="P263" s="41"/>
    </row>
    <row r="264" spans="1:75" ht="27" customHeight="1" x14ac:dyDescent="0.25">
      <c r="A264" s="2" t="s">
        <v>605</v>
      </c>
      <c r="B264" s="3" t="s">
        <v>51</v>
      </c>
      <c r="C264" s="3" t="s">
        <v>606</v>
      </c>
      <c r="D264" s="76" t="s">
        <v>607</v>
      </c>
      <c r="E264" s="77"/>
      <c r="F264" s="3" t="s">
        <v>115</v>
      </c>
      <c r="G264" s="34">
        <v>83.991</v>
      </c>
      <c r="H264" s="34"/>
      <c r="I264" s="35" t="s">
        <v>59</v>
      </c>
      <c r="J264" s="34">
        <f>G264*AO264</f>
        <v>0</v>
      </c>
      <c r="K264" s="34">
        <f>G264*AP264</f>
        <v>0</v>
      </c>
      <c r="L264" s="34">
        <f>G264*H264</f>
        <v>0</v>
      </c>
      <c r="M264" s="34">
        <f>L264*(1+BW264/100)</f>
        <v>0</v>
      </c>
      <c r="N264" s="34">
        <v>4.3E-3</v>
      </c>
      <c r="O264" s="34">
        <f>G264*N264</f>
        <v>0.36116130000000002</v>
      </c>
      <c r="P264" s="36" t="s">
        <v>608</v>
      </c>
      <c r="Z264" s="34">
        <f>IF(AQ264="5",BJ264,0)</f>
        <v>0</v>
      </c>
      <c r="AB264" s="34">
        <f>IF(AQ264="1",BH264,0)</f>
        <v>0</v>
      </c>
      <c r="AC264" s="34">
        <f>IF(AQ264="1",BI264,0)</f>
        <v>0</v>
      </c>
      <c r="AD264" s="34">
        <f>IF(AQ264="7",BH264,0)</f>
        <v>0</v>
      </c>
      <c r="AE264" s="34">
        <f>IF(AQ264="7",BI264,0)</f>
        <v>0</v>
      </c>
      <c r="AF264" s="34">
        <f>IF(AQ264="2",BH264,0)</f>
        <v>0</v>
      </c>
      <c r="AG264" s="34">
        <f>IF(AQ264="2",BI264,0)</f>
        <v>0</v>
      </c>
      <c r="AH264" s="34">
        <f>IF(AQ264="0",BJ264,0)</f>
        <v>0</v>
      </c>
      <c r="AI264" s="11" t="s">
        <v>51</v>
      </c>
      <c r="AJ264" s="34">
        <f>IF(AN264=0,L264,0)</f>
        <v>0</v>
      </c>
      <c r="AK264" s="34">
        <f>IF(AN264=12,L264,0)</f>
        <v>0</v>
      </c>
      <c r="AL264" s="34">
        <f>IF(AN264=21,L264,0)</f>
        <v>0</v>
      </c>
      <c r="AN264" s="34">
        <v>21</v>
      </c>
      <c r="AO264" s="34">
        <f>H264*0</f>
        <v>0</v>
      </c>
      <c r="AP264" s="34">
        <f>H264*(1-0)</f>
        <v>0</v>
      </c>
      <c r="AQ264" s="35" t="s">
        <v>55</v>
      </c>
      <c r="AV264" s="34">
        <f>AW264+AX264</f>
        <v>0</v>
      </c>
      <c r="AW264" s="34">
        <f>G264*AO264</f>
        <v>0</v>
      </c>
      <c r="AX264" s="34">
        <f>G264*AP264</f>
        <v>0</v>
      </c>
      <c r="AY264" s="35" t="s">
        <v>536</v>
      </c>
      <c r="AZ264" s="35" t="s">
        <v>537</v>
      </c>
      <c r="BA264" s="11" t="s">
        <v>62</v>
      </c>
      <c r="BC264" s="34">
        <f>AW264+AX264</f>
        <v>0</v>
      </c>
      <c r="BD264" s="34">
        <f>H264/(100-BE264)*100</f>
        <v>0</v>
      </c>
      <c r="BE264" s="34">
        <v>0</v>
      </c>
      <c r="BF264" s="34">
        <f>O264</f>
        <v>0.36116130000000002</v>
      </c>
      <c r="BH264" s="34">
        <f>G264*AO264</f>
        <v>0</v>
      </c>
      <c r="BI264" s="34">
        <f>G264*AP264</f>
        <v>0</v>
      </c>
      <c r="BJ264" s="34">
        <f>G264*H264</f>
        <v>0</v>
      </c>
      <c r="BK264" s="34"/>
      <c r="BL264" s="34">
        <v>91</v>
      </c>
      <c r="BW264" s="34" t="str">
        <f>I264</f>
        <v>21</v>
      </c>
    </row>
    <row r="265" spans="1:75" x14ac:dyDescent="0.25">
      <c r="A265" s="37"/>
      <c r="D265" s="38" t="s">
        <v>609</v>
      </c>
      <c r="E265" s="39" t="s">
        <v>610</v>
      </c>
      <c r="G265" s="40">
        <v>83.991</v>
      </c>
      <c r="P265" s="41"/>
    </row>
    <row r="266" spans="1:75" ht="13.5" customHeight="1" x14ac:dyDescent="0.25">
      <c r="A266" s="2" t="s">
        <v>611</v>
      </c>
      <c r="B266" s="3" t="s">
        <v>51</v>
      </c>
      <c r="C266" s="3" t="s">
        <v>612</v>
      </c>
      <c r="D266" s="76" t="s">
        <v>613</v>
      </c>
      <c r="E266" s="77"/>
      <c r="F266" s="3" t="s">
        <v>115</v>
      </c>
      <c r="G266" s="34">
        <v>83.216999999999999</v>
      </c>
      <c r="H266" s="34"/>
      <c r="I266" s="35" t="s">
        <v>59</v>
      </c>
      <c r="J266" s="34">
        <f>G266*AO266</f>
        <v>0</v>
      </c>
      <c r="K266" s="34">
        <f>G266*AP266</f>
        <v>0</v>
      </c>
      <c r="L266" s="34">
        <f>G266*H266</f>
        <v>0</v>
      </c>
      <c r="M266" s="34">
        <f>L266*(1+BW266/100)</f>
        <v>0</v>
      </c>
      <c r="N266" s="34">
        <v>0</v>
      </c>
      <c r="O266" s="34">
        <f>G266*N266</f>
        <v>0</v>
      </c>
      <c r="P266" s="36" t="s">
        <v>779</v>
      </c>
      <c r="Z266" s="34">
        <f>IF(AQ266="5",BJ266,0)</f>
        <v>0</v>
      </c>
      <c r="AB266" s="34">
        <f>IF(AQ266="1",BH266,0)</f>
        <v>0</v>
      </c>
      <c r="AC266" s="34">
        <f>IF(AQ266="1",BI266,0)</f>
        <v>0</v>
      </c>
      <c r="AD266" s="34">
        <f>IF(AQ266="7",BH266,0)</f>
        <v>0</v>
      </c>
      <c r="AE266" s="34">
        <f>IF(AQ266="7",BI266,0)</f>
        <v>0</v>
      </c>
      <c r="AF266" s="34">
        <f>IF(AQ266="2",BH266,0)</f>
        <v>0</v>
      </c>
      <c r="AG266" s="34">
        <f>IF(AQ266="2",BI266,0)</f>
        <v>0</v>
      </c>
      <c r="AH266" s="34">
        <f>IF(AQ266="0",BJ266,0)</f>
        <v>0</v>
      </c>
      <c r="AI266" s="11" t="s">
        <v>51</v>
      </c>
      <c r="AJ266" s="34">
        <f>IF(AN266=0,L266,0)</f>
        <v>0</v>
      </c>
      <c r="AK266" s="34">
        <f>IF(AN266=12,L266,0)</f>
        <v>0</v>
      </c>
      <c r="AL266" s="34">
        <f>IF(AN266=21,L266,0)</f>
        <v>0</v>
      </c>
      <c r="AN266" s="34">
        <v>21</v>
      </c>
      <c r="AO266" s="34">
        <f>H266*0.488585642</f>
        <v>0</v>
      </c>
      <c r="AP266" s="34">
        <f>H266*(1-0.488585642)</f>
        <v>0</v>
      </c>
      <c r="AQ266" s="35" t="s">
        <v>55</v>
      </c>
      <c r="AV266" s="34">
        <f>AW266+AX266</f>
        <v>0</v>
      </c>
      <c r="AW266" s="34">
        <f>G266*AO266</f>
        <v>0</v>
      </c>
      <c r="AX266" s="34">
        <f>G266*AP266</f>
        <v>0</v>
      </c>
      <c r="AY266" s="35" t="s">
        <v>536</v>
      </c>
      <c r="AZ266" s="35" t="s">
        <v>537</v>
      </c>
      <c r="BA266" s="11" t="s">
        <v>62</v>
      </c>
      <c r="BC266" s="34">
        <f>AW266+AX266</f>
        <v>0</v>
      </c>
      <c r="BD266" s="34">
        <f>H266/(100-BE266)*100</f>
        <v>0</v>
      </c>
      <c r="BE266" s="34">
        <v>0</v>
      </c>
      <c r="BF266" s="34">
        <f>O266</f>
        <v>0</v>
      </c>
      <c r="BH266" s="34">
        <f>G266*AO266</f>
        <v>0</v>
      </c>
      <c r="BI266" s="34">
        <f>G266*AP266</f>
        <v>0</v>
      </c>
      <c r="BJ266" s="34">
        <f>G266*H266</f>
        <v>0</v>
      </c>
      <c r="BK266" s="34"/>
      <c r="BL266" s="34">
        <v>91</v>
      </c>
      <c r="BW266" s="34" t="str">
        <f>I266</f>
        <v>21</v>
      </c>
    </row>
    <row r="267" spans="1:75" x14ac:dyDescent="0.25">
      <c r="A267" s="37"/>
      <c r="D267" s="38" t="s">
        <v>614</v>
      </c>
      <c r="E267" s="39" t="s">
        <v>615</v>
      </c>
      <c r="G267" s="40">
        <v>83.216999999999999</v>
      </c>
      <c r="P267" s="41"/>
    </row>
    <row r="268" spans="1:75" ht="13.5" customHeight="1" x14ac:dyDescent="0.25">
      <c r="A268" s="2" t="s">
        <v>616</v>
      </c>
      <c r="B268" s="3" t="s">
        <v>51</v>
      </c>
      <c r="C268" s="3" t="s">
        <v>617</v>
      </c>
      <c r="D268" s="76" t="s">
        <v>618</v>
      </c>
      <c r="E268" s="77"/>
      <c r="F268" s="3" t="s">
        <v>115</v>
      </c>
      <c r="G268" s="34">
        <v>9.59</v>
      </c>
      <c r="H268" s="34"/>
      <c r="I268" s="35" t="s">
        <v>59</v>
      </c>
      <c r="J268" s="34">
        <f>G268*AO268</f>
        <v>0</v>
      </c>
      <c r="K268" s="34">
        <f>G268*AP268</f>
        <v>0</v>
      </c>
      <c r="L268" s="34">
        <f>G268*H268</f>
        <v>0</v>
      </c>
      <c r="M268" s="34">
        <f>L268*(1+BW268/100)</f>
        <v>0</v>
      </c>
      <c r="N268" s="34">
        <v>0</v>
      </c>
      <c r="O268" s="34">
        <f>G268*N268</f>
        <v>0</v>
      </c>
      <c r="P268" s="36" t="s">
        <v>779</v>
      </c>
      <c r="Z268" s="34">
        <f>IF(AQ268="5",BJ268,0)</f>
        <v>0</v>
      </c>
      <c r="AB268" s="34">
        <f>IF(AQ268="1",BH268,0)</f>
        <v>0</v>
      </c>
      <c r="AC268" s="34">
        <f>IF(AQ268="1",BI268,0)</f>
        <v>0</v>
      </c>
      <c r="AD268" s="34">
        <f>IF(AQ268="7",BH268,0)</f>
        <v>0</v>
      </c>
      <c r="AE268" s="34">
        <f>IF(AQ268="7",BI268,0)</f>
        <v>0</v>
      </c>
      <c r="AF268" s="34">
        <f>IF(AQ268="2",BH268,0)</f>
        <v>0</v>
      </c>
      <c r="AG268" s="34">
        <f>IF(AQ268="2",BI268,0)</f>
        <v>0</v>
      </c>
      <c r="AH268" s="34">
        <f>IF(AQ268="0",BJ268,0)</f>
        <v>0</v>
      </c>
      <c r="AI268" s="11" t="s">
        <v>51</v>
      </c>
      <c r="AJ268" s="34">
        <f>IF(AN268=0,L268,0)</f>
        <v>0</v>
      </c>
      <c r="AK268" s="34">
        <f>IF(AN268=12,L268,0)</f>
        <v>0</v>
      </c>
      <c r="AL268" s="34">
        <f>IF(AN268=21,L268,0)</f>
        <v>0</v>
      </c>
      <c r="AN268" s="34">
        <v>21</v>
      </c>
      <c r="AO268" s="34">
        <f>H268*0.605110406</f>
        <v>0</v>
      </c>
      <c r="AP268" s="34">
        <f>H268*(1-0.605110406)</f>
        <v>0</v>
      </c>
      <c r="AQ268" s="35" t="s">
        <v>55</v>
      </c>
      <c r="AV268" s="34">
        <f>AW268+AX268</f>
        <v>0</v>
      </c>
      <c r="AW268" s="34">
        <f>G268*AO268</f>
        <v>0</v>
      </c>
      <c r="AX268" s="34">
        <f>G268*AP268</f>
        <v>0</v>
      </c>
      <c r="AY268" s="35" t="s">
        <v>536</v>
      </c>
      <c r="AZ268" s="35" t="s">
        <v>537</v>
      </c>
      <c r="BA268" s="11" t="s">
        <v>62</v>
      </c>
      <c r="BC268" s="34">
        <f>AW268+AX268</f>
        <v>0</v>
      </c>
      <c r="BD268" s="34">
        <f>H268/(100-BE268)*100</f>
        <v>0</v>
      </c>
      <c r="BE268" s="34">
        <v>0</v>
      </c>
      <c r="BF268" s="34">
        <f>O268</f>
        <v>0</v>
      </c>
      <c r="BH268" s="34">
        <f>G268*AO268</f>
        <v>0</v>
      </c>
      <c r="BI268" s="34">
        <f>G268*AP268</f>
        <v>0</v>
      </c>
      <c r="BJ268" s="34">
        <f>G268*H268</f>
        <v>0</v>
      </c>
      <c r="BK268" s="34"/>
      <c r="BL268" s="34">
        <v>91</v>
      </c>
      <c r="BW268" s="34" t="str">
        <f>I268</f>
        <v>21</v>
      </c>
    </row>
    <row r="269" spans="1:75" x14ac:dyDescent="0.25">
      <c r="A269" s="37"/>
      <c r="D269" s="38" t="s">
        <v>619</v>
      </c>
      <c r="E269" s="39" t="s">
        <v>620</v>
      </c>
      <c r="G269" s="40">
        <v>9.59</v>
      </c>
      <c r="P269" s="41"/>
    </row>
    <row r="270" spans="1:75" ht="13.5" customHeight="1" x14ac:dyDescent="0.25">
      <c r="A270" s="2" t="s">
        <v>621</v>
      </c>
      <c r="B270" s="3" t="s">
        <v>51</v>
      </c>
      <c r="C270" s="3" t="s">
        <v>622</v>
      </c>
      <c r="D270" s="76" t="s">
        <v>623</v>
      </c>
      <c r="E270" s="77"/>
      <c r="F270" s="3" t="s">
        <v>487</v>
      </c>
      <c r="G270" s="34">
        <v>11</v>
      </c>
      <c r="H270" s="34"/>
      <c r="I270" s="35" t="s">
        <v>59</v>
      </c>
      <c r="J270" s="34">
        <f>G270*AO270</f>
        <v>0</v>
      </c>
      <c r="K270" s="34">
        <f>G270*AP270</f>
        <v>0</v>
      </c>
      <c r="L270" s="34">
        <f>G270*H270</f>
        <v>0</v>
      </c>
      <c r="M270" s="34">
        <f>L270*(1+BW270/100)</f>
        <v>0</v>
      </c>
      <c r="N270" s="34">
        <v>0</v>
      </c>
      <c r="O270" s="34">
        <f>G270*N270</f>
        <v>0</v>
      </c>
      <c r="P270" s="36" t="s">
        <v>50</v>
      </c>
      <c r="Z270" s="34">
        <f>IF(AQ270="5",BJ270,0)</f>
        <v>0</v>
      </c>
      <c r="AB270" s="34">
        <f>IF(AQ270="1",BH270,0)</f>
        <v>0</v>
      </c>
      <c r="AC270" s="34">
        <f>IF(AQ270="1",BI270,0)</f>
        <v>0</v>
      </c>
      <c r="AD270" s="34">
        <f>IF(AQ270="7",BH270,0)</f>
        <v>0</v>
      </c>
      <c r="AE270" s="34">
        <f>IF(AQ270="7",BI270,0)</f>
        <v>0</v>
      </c>
      <c r="AF270" s="34">
        <f>IF(AQ270="2",BH270,0)</f>
        <v>0</v>
      </c>
      <c r="AG270" s="34">
        <f>IF(AQ270="2",BI270,0)</f>
        <v>0</v>
      </c>
      <c r="AH270" s="34">
        <f>IF(AQ270="0",BJ270,0)</f>
        <v>0</v>
      </c>
      <c r="AI270" s="11" t="s">
        <v>51</v>
      </c>
      <c r="AJ270" s="34">
        <f>IF(AN270=0,L270,0)</f>
        <v>0</v>
      </c>
      <c r="AK270" s="34">
        <f>IF(AN270=12,L270,0)</f>
        <v>0</v>
      </c>
      <c r="AL270" s="34">
        <f>IF(AN270=21,L270,0)</f>
        <v>0</v>
      </c>
      <c r="AN270" s="34">
        <v>21</v>
      </c>
      <c r="AO270" s="34">
        <f>H270*0</f>
        <v>0</v>
      </c>
      <c r="AP270" s="34">
        <f>H270*(1-0)</f>
        <v>0</v>
      </c>
      <c r="AQ270" s="35" t="s">
        <v>55</v>
      </c>
      <c r="AV270" s="34">
        <f>AW270+AX270</f>
        <v>0</v>
      </c>
      <c r="AW270" s="34">
        <f>G270*AO270</f>
        <v>0</v>
      </c>
      <c r="AX270" s="34">
        <f>G270*AP270</f>
        <v>0</v>
      </c>
      <c r="AY270" s="35" t="s">
        <v>536</v>
      </c>
      <c r="AZ270" s="35" t="s">
        <v>537</v>
      </c>
      <c r="BA270" s="11" t="s">
        <v>62</v>
      </c>
      <c r="BC270" s="34">
        <f>AW270+AX270</f>
        <v>0</v>
      </c>
      <c r="BD270" s="34">
        <f>H270/(100-BE270)*100</f>
        <v>0</v>
      </c>
      <c r="BE270" s="34">
        <v>0</v>
      </c>
      <c r="BF270" s="34">
        <f>O270</f>
        <v>0</v>
      </c>
      <c r="BH270" s="34">
        <f>G270*AO270</f>
        <v>0</v>
      </c>
      <c r="BI270" s="34">
        <f>G270*AP270</f>
        <v>0</v>
      </c>
      <c r="BJ270" s="34">
        <f>G270*H270</f>
        <v>0</v>
      </c>
      <c r="BK270" s="34"/>
      <c r="BL270" s="34">
        <v>91</v>
      </c>
      <c r="BW270" s="34" t="str">
        <f>I270</f>
        <v>21</v>
      </c>
    </row>
    <row r="271" spans="1:75" x14ac:dyDescent="0.25">
      <c r="A271" s="30" t="s">
        <v>50</v>
      </c>
      <c r="B271" s="31" t="s">
        <v>51</v>
      </c>
      <c r="C271" s="31" t="s">
        <v>456</v>
      </c>
      <c r="D271" s="130" t="s">
        <v>624</v>
      </c>
      <c r="E271" s="131"/>
      <c r="F271" s="32" t="s">
        <v>3</v>
      </c>
      <c r="G271" s="32" t="s">
        <v>3</v>
      </c>
      <c r="H271" s="32"/>
      <c r="I271" s="32" t="s">
        <v>3</v>
      </c>
      <c r="J271" s="1">
        <f>SUM(J272:J272)</f>
        <v>0</v>
      </c>
      <c r="K271" s="1">
        <f>SUM(K272:K272)</f>
        <v>0</v>
      </c>
      <c r="L271" s="1">
        <f>SUM(L272:L272)</f>
        <v>0</v>
      </c>
      <c r="M271" s="1">
        <f>SUM(M272:M272)</f>
        <v>0</v>
      </c>
      <c r="N271" s="11" t="s">
        <v>50</v>
      </c>
      <c r="O271" s="1">
        <f>SUM(O272:O272)</f>
        <v>3.8539000000000004E-3</v>
      </c>
      <c r="P271" s="33" t="s">
        <v>50</v>
      </c>
      <c r="AI271" s="11" t="s">
        <v>51</v>
      </c>
      <c r="AS271" s="1">
        <f>SUM(AJ272:AJ272)</f>
        <v>0</v>
      </c>
      <c r="AT271" s="1">
        <f>SUM(AK272:AK272)</f>
        <v>0</v>
      </c>
      <c r="AU271" s="1">
        <f>SUM(AL272:AL272)</f>
        <v>0</v>
      </c>
    </row>
    <row r="272" spans="1:75" ht="13.5" customHeight="1" x14ac:dyDescent="0.25">
      <c r="A272" s="2" t="s">
        <v>625</v>
      </c>
      <c r="B272" s="3" t="s">
        <v>51</v>
      </c>
      <c r="C272" s="3" t="s">
        <v>626</v>
      </c>
      <c r="D272" s="76" t="s">
        <v>627</v>
      </c>
      <c r="E272" s="77"/>
      <c r="F272" s="3" t="s">
        <v>58</v>
      </c>
      <c r="G272" s="34">
        <v>385.39</v>
      </c>
      <c r="H272" s="34"/>
      <c r="I272" s="35" t="s">
        <v>59</v>
      </c>
      <c r="J272" s="34">
        <f>G272*AO272</f>
        <v>0</v>
      </c>
      <c r="K272" s="34">
        <f>G272*AP272</f>
        <v>0</v>
      </c>
      <c r="L272" s="34">
        <f>G272*H272</f>
        <v>0</v>
      </c>
      <c r="M272" s="34">
        <f>L272*(1+BW272/100)</f>
        <v>0</v>
      </c>
      <c r="N272" s="34">
        <v>1.0000000000000001E-5</v>
      </c>
      <c r="O272" s="34">
        <f>G272*N272</f>
        <v>3.8539000000000004E-3</v>
      </c>
      <c r="P272" s="36" t="s">
        <v>50</v>
      </c>
      <c r="Z272" s="34">
        <f>IF(AQ272="5",BJ272,0)</f>
        <v>0</v>
      </c>
      <c r="AB272" s="34">
        <f>IF(AQ272="1",BH272,0)</f>
        <v>0</v>
      </c>
      <c r="AC272" s="34">
        <f>IF(AQ272="1",BI272,0)</f>
        <v>0</v>
      </c>
      <c r="AD272" s="34">
        <f>IF(AQ272="7",BH272,0)</f>
        <v>0</v>
      </c>
      <c r="AE272" s="34">
        <f>IF(AQ272="7",BI272,0)</f>
        <v>0</v>
      </c>
      <c r="AF272" s="34">
        <f>IF(AQ272="2",BH272,0)</f>
        <v>0</v>
      </c>
      <c r="AG272" s="34">
        <f>IF(AQ272="2",BI272,0)</f>
        <v>0</v>
      </c>
      <c r="AH272" s="34">
        <f>IF(AQ272="0",BJ272,0)</f>
        <v>0</v>
      </c>
      <c r="AI272" s="11" t="s">
        <v>51</v>
      </c>
      <c r="AJ272" s="34">
        <f>IF(AN272=0,L272,0)</f>
        <v>0</v>
      </c>
      <c r="AK272" s="34">
        <f>IF(AN272=12,L272,0)</f>
        <v>0</v>
      </c>
      <c r="AL272" s="34">
        <f>IF(AN272=21,L272,0)</f>
        <v>0</v>
      </c>
      <c r="AN272" s="34">
        <v>21</v>
      </c>
      <c r="AO272" s="34">
        <f>H272*0.081507448</f>
        <v>0</v>
      </c>
      <c r="AP272" s="34">
        <f>H272*(1-0.081507448)</f>
        <v>0</v>
      </c>
      <c r="AQ272" s="35" t="s">
        <v>55</v>
      </c>
      <c r="AV272" s="34">
        <f>AW272+AX272</f>
        <v>0</v>
      </c>
      <c r="AW272" s="34">
        <f>G272*AO272</f>
        <v>0</v>
      </c>
      <c r="AX272" s="34">
        <f>G272*AP272</f>
        <v>0</v>
      </c>
      <c r="AY272" s="35" t="s">
        <v>628</v>
      </c>
      <c r="AZ272" s="35" t="s">
        <v>537</v>
      </c>
      <c r="BA272" s="11" t="s">
        <v>62</v>
      </c>
      <c r="BC272" s="34">
        <f>AW272+AX272</f>
        <v>0</v>
      </c>
      <c r="BD272" s="34">
        <f>H272/(100-BE272)*100</f>
        <v>0</v>
      </c>
      <c r="BE272" s="34">
        <v>0</v>
      </c>
      <c r="BF272" s="34">
        <f>O272</f>
        <v>3.8539000000000004E-3</v>
      </c>
      <c r="BH272" s="34">
        <f>G272*AO272</f>
        <v>0</v>
      </c>
      <c r="BI272" s="34">
        <f>G272*AP272</f>
        <v>0</v>
      </c>
      <c r="BJ272" s="34">
        <f>G272*H272</f>
        <v>0</v>
      </c>
      <c r="BK272" s="34"/>
      <c r="BL272" s="34">
        <v>93</v>
      </c>
      <c r="BW272" s="34" t="str">
        <f>I272</f>
        <v>21</v>
      </c>
    </row>
    <row r="273" spans="1:75" x14ac:dyDescent="0.25">
      <c r="A273" s="37"/>
      <c r="D273" s="38" t="s">
        <v>229</v>
      </c>
      <c r="E273" s="39" t="s">
        <v>629</v>
      </c>
      <c r="G273" s="40">
        <v>385.39</v>
      </c>
      <c r="P273" s="41"/>
    </row>
    <row r="274" spans="1:75" x14ac:dyDescent="0.25">
      <c r="A274" s="30" t="s">
        <v>50</v>
      </c>
      <c r="B274" s="31" t="s">
        <v>51</v>
      </c>
      <c r="C274" s="31" t="s">
        <v>462</v>
      </c>
      <c r="D274" s="130" t="s">
        <v>630</v>
      </c>
      <c r="E274" s="131"/>
      <c r="F274" s="32" t="s">
        <v>3</v>
      </c>
      <c r="G274" s="32" t="s">
        <v>3</v>
      </c>
      <c r="H274" s="32"/>
      <c r="I274" s="32" t="s">
        <v>3</v>
      </c>
      <c r="J274" s="1">
        <f>SUM(J275:J275)</f>
        <v>0</v>
      </c>
      <c r="K274" s="1">
        <f>SUM(K275:K275)</f>
        <v>0</v>
      </c>
      <c r="L274" s="1">
        <f>SUM(L275:L275)</f>
        <v>0</v>
      </c>
      <c r="M274" s="1">
        <f>SUM(M275:M275)</f>
        <v>0</v>
      </c>
      <c r="N274" s="11" t="s">
        <v>50</v>
      </c>
      <c r="O274" s="1">
        <f>SUM(O275:O275)</f>
        <v>0.32800000000000001</v>
      </c>
      <c r="P274" s="33" t="s">
        <v>50</v>
      </c>
      <c r="AI274" s="11" t="s">
        <v>51</v>
      </c>
      <c r="AS274" s="1">
        <f>SUM(AJ275:AJ275)</f>
        <v>0</v>
      </c>
      <c r="AT274" s="1">
        <f>SUM(AK275:AK275)</f>
        <v>0</v>
      </c>
      <c r="AU274" s="1">
        <f>SUM(AL275:AL275)</f>
        <v>0</v>
      </c>
    </row>
    <row r="275" spans="1:75" ht="13.5" customHeight="1" x14ac:dyDescent="0.25">
      <c r="A275" s="2" t="s">
        <v>631</v>
      </c>
      <c r="B275" s="3" t="s">
        <v>51</v>
      </c>
      <c r="C275" s="3" t="s">
        <v>632</v>
      </c>
      <c r="D275" s="76" t="s">
        <v>633</v>
      </c>
      <c r="E275" s="77"/>
      <c r="F275" s="3" t="s">
        <v>487</v>
      </c>
      <c r="G275" s="34">
        <v>4</v>
      </c>
      <c r="H275" s="34"/>
      <c r="I275" s="35" t="s">
        <v>59</v>
      </c>
      <c r="J275" s="34">
        <f>G275*AO275</f>
        <v>0</v>
      </c>
      <c r="K275" s="34">
        <f>G275*AP275</f>
        <v>0</v>
      </c>
      <c r="L275" s="34">
        <f>G275*H275</f>
        <v>0</v>
      </c>
      <c r="M275" s="34">
        <f>L275*(1+BW275/100)</f>
        <v>0</v>
      </c>
      <c r="N275" s="34">
        <v>8.2000000000000003E-2</v>
      </c>
      <c r="O275" s="34">
        <f>G275*N275</f>
        <v>0.32800000000000001</v>
      </c>
      <c r="P275" s="36" t="s">
        <v>779</v>
      </c>
      <c r="Z275" s="34">
        <f>IF(AQ275="5",BJ275,0)</f>
        <v>0</v>
      </c>
      <c r="AB275" s="34">
        <f>IF(AQ275="1",BH275,0)</f>
        <v>0</v>
      </c>
      <c r="AC275" s="34">
        <f>IF(AQ275="1",BI275,0)</f>
        <v>0</v>
      </c>
      <c r="AD275" s="34">
        <f>IF(AQ275="7",BH275,0)</f>
        <v>0</v>
      </c>
      <c r="AE275" s="34">
        <f>IF(AQ275="7",BI275,0)</f>
        <v>0</v>
      </c>
      <c r="AF275" s="34">
        <f>IF(AQ275="2",BH275,0)</f>
        <v>0</v>
      </c>
      <c r="AG275" s="34">
        <f>IF(AQ275="2",BI275,0)</f>
        <v>0</v>
      </c>
      <c r="AH275" s="34">
        <f>IF(AQ275="0",BJ275,0)</f>
        <v>0</v>
      </c>
      <c r="AI275" s="11" t="s">
        <v>51</v>
      </c>
      <c r="AJ275" s="34">
        <f>IF(AN275=0,L275,0)</f>
        <v>0</v>
      </c>
      <c r="AK275" s="34">
        <f>IF(AN275=12,L275,0)</f>
        <v>0</v>
      </c>
      <c r="AL275" s="34">
        <f>IF(AN275=21,L275,0)</f>
        <v>0</v>
      </c>
      <c r="AN275" s="34">
        <v>21</v>
      </c>
      <c r="AO275" s="34">
        <f>H275*0</f>
        <v>0</v>
      </c>
      <c r="AP275" s="34">
        <f>H275*(1-0)</f>
        <v>0</v>
      </c>
      <c r="AQ275" s="35" t="s">
        <v>55</v>
      </c>
      <c r="AV275" s="34">
        <f>AW275+AX275</f>
        <v>0</v>
      </c>
      <c r="AW275" s="34">
        <f>G275*AO275</f>
        <v>0</v>
      </c>
      <c r="AX275" s="34">
        <f>G275*AP275</f>
        <v>0</v>
      </c>
      <c r="AY275" s="35" t="s">
        <v>634</v>
      </c>
      <c r="AZ275" s="35" t="s">
        <v>537</v>
      </c>
      <c r="BA275" s="11" t="s">
        <v>62</v>
      </c>
      <c r="BC275" s="34">
        <f>AW275+AX275</f>
        <v>0</v>
      </c>
      <c r="BD275" s="34">
        <f>H275/(100-BE275)*100</f>
        <v>0</v>
      </c>
      <c r="BE275" s="34">
        <v>0</v>
      </c>
      <c r="BF275" s="34">
        <f>O275</f>
        <v>0.32800000000000001</v>
      </c>
      <c r="BH275" s="34">
        <f>G275*AO275</f>
        <v>0</v>
      </c>
      <c r="BI275" s="34">
        <f>G275*AP275</f>
        <v>0</v>
      </c>
      <c r="BJ275" s="34">
        <f>G275*H275</f>
        <v>0</v>
      </c>
      <c r="BK275" s="34"/>
      <c r="BL275" s="34">
        <v>96</v>
      </c>
      <c r="BW275" s="34" t="str">
        <f>I275</f>
        <v>21</v>
      </c>
    </row>
    <row r="276" spans="1:75" ht="13.5" customHeight="1" x14ac:dyDescent="0.25">
      <c r="A276" s="37"/>
      <c r="D276" s="132" t="s">
        <v>635</v>
      </c>
      <c r="E276" s="133"/>
      <c r="F276" s="133"/>
      <c r="G276" s="133"/>
      <c r="H276" s="133"/>
      <c r="I276" s="133"/>
      <c r="J276" s="133"/>
      <c r="K276" s="133"/>
      <c r="L276" s="133"/>
      <c r="M276" s="133"/>
      <c r="N276" s="133"/>
      <c r="O276" s="133"/>
      <c r="P276" s="134"/>
    </row>
    <row r="277" spans="1:75" x14ac:dyDescent="0.25">
      <c r="A277" s="37"/>
      <c r="D277" s="38" t="s">
        <v>75</v>
      </c>
      <c r="E277" s="39" t="s">
        <v>636</v>
      </c>
      <c r="G277" s="40">
        <v>4</v>
      </c>
      <c r="P277" s="41"/>
    </row>
    <row r="278" spans="1:75" x14ac:dyDescent="0.25">
      <c r="A278" s="30" t="s">
        <v>50</v>
      </c>
      <c r="B278" s="31" t="s">
        <v>51</v>
      </c>
      <c r="C278" s="31" t="s">
        <v>464</v>
      </c>
      <c r="D278" s="130" t="s">
        <v>637</v>
      </c>
      <c r="E278" s="131"/>
      <c r="F278" s="32" t="s">
        <v>3</v>
      </c>
      <c r="G278" s="32" t="s">
        <v>3</v>
      </c>
      <c r="H278" s="32" t="s">
        <v>3</v>
      </c>
      <c r="I278" s="32" t="s">
        <v>3</v>
      </c>
      <c r="J278" s="1">
        <f>SUM(J279:J280)</f>
        <v>0</v>
      </c>
      <c r="K278" s="1">
        <f>SUM(K279:K280)</f>
        <v>0</v>
      </c>
      <c r="L278" s="1">
        <f>SUM(L279:L280)</f>
        <v>0</v>
      </c>
      <c r="M278" s="1">
        <f>SUM(M279:M280)</f>
        <v>0</v>
      </c>
      <c r="N278" s="11" t="s">
        <v>50</v>
      </c>
      <c r="O278" s="1">
        <f>SUM(O279:O280)</f>
        <v>0</v>
      </c>
      <c r="P278" s="33" t="s">
        <v>50</v>
      </c>
      <c r="AI278" s="11" t="s">
        <v>51</v>
      </c>
      <c r="AS278" s="1">
        <f>SUM(AJ279:AJ280)</f>
        <v>0</v>
      </c>
      <c r="AT278" s="1">
        <f>SUM(AK279:AK280)</f>
        <v>0</v>
      </c>
      <c r="AU278" s="1">
        <f>SUM(AL279:AL280)</f>
        <v>0</v>
      </c>
    </row>
    <row r="279" spans="1:75" ht="13.5" customHeight="1" x14ac:dyDescent="0.25">
      <c r="A279" s="2" t="s">
        <v>638</v>
      </c>
      <c r="B279" s="3" t="s">
        <v>51</v>
      </c>
      <c r="C279" s="3" t="s">
        <v>639</v>
      </c>
      <c r="D279" s="76" t="s">
        <v>640</v>
      </c>
      <c r="E279" s="77"/>
      <c r="F279" s="3" t="s">
        <v>115</v>
      </c>
      <c r="G279" s="34">
        <v>151.35</v>
      </c>
      <c r="H279" s="34"/>
      <c r="I279" s="35" t="s">
        <v>59</v>
      </c>
      <c r="J279" s="34">
        <f>G279*AO279</f>
        <v>0</v>
      </c>
      <c r="K279" s="34">
        <f>G279*AP279</f>
        <v>0</v>
      </c>
      <c r="L279" s="34">
        <f>G279*H279</f>
        <v>0</v>
      </c>
      <c r="M279" s="34">
        <f>L279*(1+BW279/100)</f>
        <v>0</v>
      </c>
      <c r="N279" s="34">
        <v>0</v>
      </c>
      <c r="O279" s="34">
        <f>G279*N279</f>
        <v>0</v>
      </c>
      <c r="P279" s="36" t="s">
        <v>779</v>
      </c>
      <c r="Z279" s="34">
        <f>IF(AQ279="5",BJ279,0)</f>
        <v>0</v>
      </c>
      <c r="AB279" s="34">
        <f>IF(AQ279="1",BH279,0)</f>
        <v>0</v>
      </c>
      <c r="AC279" s="34">
        <f>IF(AQ279="1",BI279,0)</f>
        <v>0</v>
      </c>
      <c r="AD279" s="34">
        <f>IF(AQ279="7",BH279,0)</f>
        <v>0</v>
      </c>
      <c r="AE279" s="34">
        <f>IF(AQ279="7",BI279,0)</f>
        <v>0</v>
      </c>
      <c r="AF279" s="34">
        <f>IF(AQ279="2",BH279,0)</f>
        <v>0</v>
      </c>
      <c r="AG279" s="34">
        <f>IF(AQ279="2",BI279,0)</f>
        <v>0</v>
      </c>
      <c r="AH279" s="34">
        <f>IF(AQ279="0",BJ279,0)</f>
        <v>0</v>
      </c>
      <c r="AI279" s="11" t="s">
        <v>51</v>
      </c>
      <c r="AJ279" s="34">
        <f>IF(AN279=0,L279,0)</f>
        <v>0</v>
      </c>
      <c r="AK279" s="34">
        <f>IF(AN279=12,L279,0)</f>
        <v>0</v>
      </c>
      <c r="AL279" s="34">
        <f>IF(AN279=21,L279,0)</f>
        <v>0</v>
      </c>
      <c r="AN279" s="34">
        <v>21</v>
      </c>
      <c r="AO279" s="34">
        <f>H279*0</f>
        <v>0</v>
      </c>
      <c r="AP279" s="34">
        <f>H279*(1-0)</f>
        <v>0</v>
      </c>
      <c r="AQ279" s="35" t="s">
        <v>55</v>
      </c>
      <c r="AV279" s="34">
        <f>AW279+AX279</f>
        <v>0</v>
      </c>
      <c r="AW279" s="34">
        <f>G279*AO279</f>
        <v>0</v>
      </c>
      <c r="AX279" s="34">
        <f>G279*AP279</f>
        <v>0</v>
      </c>
      <c r="AY279" s="35" t="s">
        <v>641</v>
      </c>
      <c r="AZ279" s="35" t="s">
        <v>537</v>
      </c>
      <c r="BA279" s="11" t="s">
        <v>62</v>
      </c>
      <c r="BC279" s="34">
        <f>AW279+AX279</f>
        <v>0</v>
      </c>
      <c r="BD279" s="34">
        <f>H279/(100-BE279)*100</f>
        <v>0</v>
      </c>
      <c r="BE279" s="34">
        <v>0</v>
      </c>
      <c r="BF279" s="34">
        <f>O279</f>
        <v>0</v>
      </c>
      <c r="BH279" s="34">
        <f>G279*AO279</f>
        <v>0</v>
      </c>
      <c r="BI279" s="34">
        <f>G279*AP279</f>
        <v>0</v>
      </c>
      <c r="BJ279" s="34">
        <f>G279*H279</f>
        <v>0</v>
      </c>
      <c r="BK279" s="34"/>
      <c r="BL279" s="34">
        <v>97</v>
      </c>
      <c r="BW279" s="34" t="str">
        <f>I279</f>
        <v>21</v>
      </c>
    </row>
    <row r="280" spans="1:75" ht="13.5" customHeight="1" x14ac:dyDescent="0.25">
      <c r="A280" s="2" t="s">
        <v>642</v>
      </c>
      <c r="B280" s="3" t="s">
        <v>51</v>
      </c>
      <c r="C280" s="3" t="s">
        <v>643</v>
      </c>
      <c r="D280" s="76" t="s">
        <v>644</v>
      </c>
      <c r="E280" s="77"/>
      <c r="F280" s="3" t="s">
        <v>58</v>
      </c>
      <c r="G280" s="34">
        <v>86.051000000000002</v>
      </c>
      <c r="H280" s="34"/>
      <c r="I280" s="35" t="s">
        <v>59</v>
      </c>
      <c r="J280" s="34">
        <f>G280*AO280</f>
        <v>0</v>
      </c>
      <c r="K280" s="34">
        <f>G280*AP280</f>
        <v>0</v>
      </c>
      <c r="L280" s="34">
        <f>G280*H280</f>
        <v>0</v>
      </c>
      <c r="M280" s="34">
        <f>L280*(1+BW280/100)</f>
        <v>0</v>
      </c>
      <c r="N280" s="34">
        <v>0</v>
      </c>
      <c r="O280" s="34">
        <f>G280*N280</f>
        <v>0</v>
      </c>
      <c r="P280" s="36" t="s">
        <v>779</v>
      </c>
      <c r="Z280" s="34">
        <f>IF(AQ280="5",BJ280,0)</f>
        <v>0</v>
      </c>
      <c r="AB280" s="34">
        <f>IF(AQ280="1",BH280,0)</f>
        <v>0</v>
      </c>
      <c r="AC280" s="34">
        <f>IF(AQ280="1",BI280,0)</f>
        <v>0</v>
      </c>
      <c r="AD280" s="34">
        <f>IF(AQ280="7",BH280,0)</f>
        <v>0</v>
      </c>
      <c r="AE280" s="34">
        <f>IF(AQ280="7",BI280,0)</f>
        <v>0</v>
      </c>
      <c r="AF280" s="34">
        <f>IF(AQ280="2",BH280,0)</f>
        <v>0</v>
      </c>
      <c r="AG280" s="34">
        <f>IF(AQ280="2",BI280,0)</f>
        <v>0</v>
      </c>
      <c r="AH280" s="34">
        <f>IF(AQ280="0",BJ280,0)</f>
        <v>0</v>
      </c>
      <c r="AI280" s="11" t="s">
        <v>51</v>
      </c>
      <c r="AJ280" s="34">
        <f>IF(AN280=0,L280,0)</f>
        <v>0</v>
      </c>
      <c r="AK280" s="34">
        <f>IF(AN280=12,L280,0)</f>
        <v>0</v>
      </c>
      <c r="AL280" s="34">
        <f>IF(AN280=21,L280,0)</f>
        <v>0</v>
      </c>
      <c r="AN280" s="34">
        <v>21</v>
      </c>
      <c r="AO280" s="34">
        <f>H280*0</f>
        <v>0</v>
      </c>
      <c r="AP280" s="34">
        <f>H280*(1-0)</f>
        <v>0</v>
      </c>
      <c r="AQ280" s="35" t="s">
        <v>55</v>
      </c>
      <c r="AV280" s="34">
        <f>AW280+AX280</f>
        <v>0</v>
      </c>
      <c r="AW280" s="34">
        <f>G280*AO280</f>
        <v>0</v>
      </c>
      <c r="AX280" s="34">
        <f>G280*AP280</f>
        <v>0</v>
      </c>
      <c r="AY280" s="35" t="s">
        <v>641</v>
      </c>
      <c r="AZ280" s="35" t="s">
        <v>537</v>
      </c>
      <c r="BA280" s="11" t="s">
        <v>62</v>
      </c>
      <c r="BC280" s="34">
        <f>AW280+AX280</f>
        <v>0</v>
      </c>
      <c r="BD280" s="34">
        <f>H280/(100-BE280)*100</f>
        <v>0</v>
      </c>
      <c r="BE280" s="34">
        <v>0</v>
      </c>
      <c r="BF280" s="34">
        <f>O280</f>
        <v>0</v>
      </c>
      <c r="BH280" s="34">
        <f>G280*AO280</f>
        <v>0</v>
      </c>
      <c r="BI280" s="34">
        <f>G280*AP280</f>
        <v>0</v>
      </c>
      <c r="BJ280" s="34">
        <f>G280*H280</f>
        <v>0</v>
      </c>
      <c r="BK280" s="34"/>
      <c r="BL280" s="34">
        <v>97</v>
      </c>
      <c r="BW280" s="34" t="str">
        <f>I280</f>
        <v>21</v>
      </c>
    </row>
    <row r="281" spans="1:75" x14ac:dyDescent="0.25">
      <c r="A281" s="37"/>
      <c r="D281" s="38" t="s">
        <v>68</v>
      </c>
      <c r="E281" s="39" t="s">
        <v>50</v>
      </c>
      <c r="G281" s="40">
        <v>86.051000000000002</v>
      </c>
      <c r="P281" s="41"/>
    </row>
    <row r="282" spans="1:75" x14ac:dyDescent="0.25">
      <c r="A282" s="30" t="s">
        <v>50</v>
      </c>
      <c r="B282" s="31" t="s">
        <v>51</v>
      </c>
      <c r="C282" s="31" t="s">
        <v>645</v>
      </c>
      <c r="D282" s="130" t="s">
        <v>646</v>
      </c>
      <c r="E282" s="131"/>
      <c r="F282" s="32" t="s">
        <v>3</v>
      </c>
      <c r="G282" s="32" t="s">
        <v>3</v>
      </c>
      <c r="H282" s="32"/>
      <c r="I282" s="32" t="s">
        <v>3</v>
      </c>
      <c r="J282" s="1">
        <f>SUM(J283:J284)</f>
        <v>0</v>
      </c>
      <c r="K282" s="1">
        <f>SUM(K283:K284)</f>
        <v>0</v>
      </c>
      <c r="L282" s="1">
        <f>SUM(L283:L284)</f>
        <v>0</v>
      </c>
      <c r="M282" s="1">
        <f>SUM(M283:M284)</f>
        <v>0</v>
      </c>
      <c r="N282" s="11" t="s">
        <v>50</v>
      </c>
      <c r="O282" s="1">
        <f>SUM(O283:O284)</f>
        <v>0</v>
      </c>
      <c r="P282" s="33" t="s">
        <v>50</v>
      </c>
      <c r="AI282" s="11" t="s">
        <v>51</v>
      </c>
      <c r="AS282" s="1">
        <f>SUM(AJ283:AJ284)</f>
        <v>0</v>
      </c>
      <c r="AT282" s="1">
        <f>SUM(AK283:AK284)</f>
        <v>0</v>
      </c>
      <c r="AU282" s="1">
        <f>SUM(AL283:AL284)</f>
        <v>0</v>
      </c>
    </row>
    <row r="283" spans="1:75" ht="13.5" customHeight="1" x14ac:dyDescent="0.25">
      <c r="A283" s="2" t="s">
        <v>647</v>
      </c>
      <c r="B283" s="3" t="s">
        <v>51</v>
      </c>
      <c r="C283" s="3" t="s">
        <v>648</v>
      </c>
      <c r="D283" s="76" t="s">
        <v>649</v>
      </c>
      <c r="E283" s="77"/>
      <c r="F283" s="3" t="s">
        <v>152</v>
      </c>
      <c r="G283" s="34">
        <v>1415.3019999999999</v>
      </c>
      <c r="H283" s="34"/>
      <c r="I283" s="35" t="s">
        <v>59</v>
      </c>
      <c r="J283" s="34">
        <f>G283*AO283</f>
        <v>0</v>
      </c>
      <c r="K283" s="34">
        <f>G283*AP283</f>
        <v>0</v>
      </c>
      <c r="L283" s="34">
        <f>G283*H283</f>
        <v>0</v>
      </c>
      <c r="M283" s="34">
        <f>L283*(1+BW283/100)</f>
        <v>0</v>
      </c>
      <c r="N283" s="34">
        <v>0</v>
      </c>
      <c r="O283" s="34">
        <f>G283*N283</f>
        <v>0</v>
      </c>
      <c r="P283" s="36" t="s">
        <v>779</v>
      </c>
      <c r="Z283" s="34">
        <f>IF(AQ283="5",BJ283,0)</f>
        <v>0</v>
      </c>
      <c r="AB283" s="34">
        <f>IF(AQ283="1",BH283,0)</f>
        <v>0</v>
      </c>
      <c r="AC283" s="34">
        <f>IF(AQ283="1",BI283,0)</f>
        <v>0</v>
      </c>
      <c r="AD283" s="34">
        <f>IF(AQ283="7",BH283,0)</f>
        <v>0</v>
      </c>
      <c r="AE283" s="34">
        <f>IF(AQ283="7",BI283,0)</f>
        <v>0</v>
      </c>
      <c r="AF283" s="34">
        <f>IF(AQ283="2",BH283,0)</f>
        <v>0</v>
      </c>
      <c r="AG283" s="34">
        <f>IF(AQ283="2",BI283,0)</f>
        <v>0</v>
      </c>
      <c r="AH283" s="34">
        <f>IF(AQ283="0",BJ283,0)</f>
        <v>0</v>
      </c>
      <c r="AI283" s="11" t="s">
        <v>51</v>
      </c>
      <c r="AJ283" s="34">
        <f>IF(AN283=0,L283,0)</f>
        <v>0</v>
      </c>
      <c r="AK283" s="34">
        <f>IF(AN283=12,L283,0)</f>
        <v>0</v>
      </c>
      <c r="AL283" s="34">
        <f>IF(AN283=21,L283,0)</f>
        <v>0</v>
      </c>
      <c r="AN283" s="34">
        <v>21</v>
      </c>
      <c r="AO283" s="34">
        <f>H283*0</f>
        <v>0</v>
      </c>
      <c r="AP283" s="34">
        <f>H283*(1-0)</f>
        <v>0</v>
      </c>
      <c r="AQ283" s="35" t="s">
        <v>80</v>
      </c>
      <c r="AV283" s="34">
        <f>AW283+AX283</f>
        <v>0</v>
      </c>
      <c r="AW283" s="34">
        <f>G283*AO283</f>
        <v>0</v>
      </c>
      <c r="AX283" s="34">
        <f>G283*AP283</f>
        <v>0</v>
      </c>
      <c r="AY283" s="35" t="s">
        <v>650</v>
      </c>
      <c r="AZ283" s="35" t="s">
        <v>537</v>
      </c>
      <c r="BA283" s="11" t="s">
        <v>62</v>
      </c>
      <c r="BC283" s="34">
        <f>AW283+AX283</f>
        <v>0</v>
      </c>
      <c r="BD283" s="34">
        <f>H283/(100-BE283)*100</f>
        <v>0</v>
      </c>
      <c r="BE283" s="34">
        <v>0</v>
      </c>
      <c r="BF283" s="34">
        <f>O283</f>
        <v>0</v>
      </c>
      <c r="BH283" s="34">
        <f>G283*AO283</f>
        <v>0</v>
      </c>
      <c r="BI283" s="34">
        <f>G283*AP283</f>
        <v>0</v>
      </c>
      <c r="BJ283" s="34">
        <f>G283*H283</f>
        <v>0</v>
      </c>
      <c r="BK283" s="34"/>
      <c r="BL283" s="34"/>
      <c r="BW283" s="34" t="str">
        <f>I283</f>
        <v>21</v>
      </c>
    </row>
    <row r="284" spans="1:75" ht="13.5" customHeight="1" x14ac:dyDescent="0.25">
      <c r="A284" s="2" t="s">
        <v>651</v>
      </c>
      <c r="B284" s="3" t="s">
        <v>51</v>
      </c>
      <c r="C284" s="3" t="s">
        <v>652</v>
      </c>
      <c r="D284" s="76" t="s">
        <v>653</v>
      </c>
      <c r="E284" s="77"/>
      <c r="F284" s="3" t="s">
        <v>152</v>
      </c>
      <c r="G284" s="34">
        <v>88.744</v>
      </c>
      <c r="H284" s="34"/>
      <c r="I284" s="35" t="s">
        <v>59</v>
      </c>
      <c r="J284" s="34">
        <f>G284*AO284</f>
        <v>0</v>
      </c>
      <c r="K284" s="34">
        <f>G284*AP284</f>
        <v>0</v>
      </c>
      <c r="L284" s="34">
        <f>G284*H284</f>
        <v>0</v>
      </c>
      <c r="M284" s="34">
        <f>L284*(1+BW284/100)</f>
        <v>0</v>
      </c>
      <c r="N284" s="34">
        <v>0</v>
      </c>
      <c r="O284" s="34">
        <f>G284*N284</f>
        <v>0</v>
      </c>
      <c r="P284" s="36" t="s">
        <v>779</v>
      </c>
      <c r="Z284" s="34">
        <f>IF(AQ284="5",BJ284,0)</f>
        <v>0</v>
      </c>
      <c r="AB284" s="34">
        <f>IF(AQ284="1",BH284,0)</f>
        <v>0</v>
      </c>
      <c r="AC284" s="34">
        <f>IF(AQ284="1",BI284,0)</f>
        <v>0</v>
      </c>
      <c r="AD284" s="34">
        <f>IF(AQ284="7",BH284,0)</f>
        <v>0</v>
      </c>
      <c r="AE284" s="34">
        <f>IF(AQ284="7",BI284,0)</f>
        <v>0</v>
      </c>
      <c r="AF284" s="34">
        <f>IF(AQ284="2",BH284,0)</f>
        <v>0</v>
      </c>
      <c r="AG284" s="34">
        <f>IF(AQ284="2",BI284,0)</f>
        <v>0</v>
      </c>
      <c r="AH284" s="34">
        <f>IF(AQ284="0",BJ284,0)</f>
        <v>0</v>
      </c>
      <c r="AI284" s="11" t="s">
        <v>51</v>
      </c>
      <c r="AJ284" s="34">
        <f>IF(AN284=0,L284,0)</f>
        <v>0</v>
      </c>
      <c r="AK284" s="34">
        <f>IF(AN284=12,L284,0)</f>
        <v>0</v>
      </c>
      <c r="AL284" s="34">
        <f>IF(AN284=21,L284,0)</f>
        <v>0</v>
      </c>
      <c r="AN284" s="34">
        <v>21</v>
      </c>
      <c r="AO284" s="34">
        <f>H284*0</f>
        <v>0</v>
      </c>
      <c r="AP284" s="34">
        <f>H284*(1-0)</f>
        <v>0</v>
      </c>
      <c r="AQ284" s="35" t="s">
        <v>80</v>
      </c>
      <c r="AV284" s="34">
        <f>AW284+AX284</f>
        <v>0</v>
      </c>
      <c r="AW284" s="34">
        <f>G284*AO284</f>
        <v>0</v>
      </c>
      <c r="AX284" s="34">
        <f>G284*AP284</f>
        <v>0</v>
      </c>
      <c r="AY284" s="35" t="s">
        <v>650</v>
      </c>
      <c r="AZ284" s="35" t="s">
        <v>537</v>
      </c>
      <c r="BA284" s="11" t="s">
        <v>62</v>
      </c>
      <c r="BC284" s="34">
        <f>AW284+AX284</f>
        <v>0</v>
      </c>
      <c r="BD284" s="34">
        <f>H284/(100-BE284)*100</f>
        <v>0</v>
      </c>
      <c r="BE284" s="34">
        <v>0</v>
      </c>
      <c r="BF284" s="34">
        <f>O284</f>
        <v>0</v>
      </c>
      <c r="BH284" s="34">
        <f>G284*AO284</f>
        <v>0</v>
      </c>
      <c r="BI284" s="34">
        <f>G284*AP284</f>
        <v>0</v>
      </c>
      <c r="BJ284" s="34">
        <f>G284*H284</f>
        <v>0</v>
      </c>
      <c r="BK284" s="34"/>
      <c r="BL284" s="34"/>
      <c r="BW284" s="34" t="str">
        <f>I284</f>
        <v>21</v>
      </c>
    </row>
    <row r="285" spans="1:75" x14ac:dyDescent="0.25">
      <c r="A285" s="30" t="s">
        <v>50</v>
      </c>
      <c r="B285" s="31" t="s">
        <v>51</v>
      </c>
      <c r="C285" s="31" t="s">
        <v>654</v>
      </c>
      <c r="D285" s="130" t="s">
        <v>655</v>
      </c>
      <c r="E285" s="131"/>
      <c r="F285" s="32" t="s">
        <v>3</v>
      </c>
      <c r="G285" s="32" t="s">
        <v>3</v>
      </c>
      <c r="H285" s="32"/>
      <c r="I285" s="32" t="s">
        <v>3</v>
      </c>
      <c r="J285" s="1">
        <f>SUM(J286:J297)</f>
        <v>0</v>
      </c>
      <c r="K285" s="1">
        <f>SUM(K286:K297)</f>
        <v>0</v>
      </c>
      <c r="L285" s="1">
        <f>SUM(L286:L297)</f>
        <v>0</v>
      </c>
      <c r="M285" s="1">
        <f>SUM(M286:M297)</f>
        <v>0</v>
      </c>
      <c r="N285" s="11" t="s">
        <v>50</v>
      </c>
      <c r="O285" s="1">
        <f>SUM(O286:O297)</f>
        <v>0</v>
      </c>
      <c r="P285" s="33" t="s">
        <v>50</v>
      </c>
      <c r="AI285" s="11" t="s">
        <v>51</v>
      </c>
      <c r="AS285" s="1">
        <f>SUM(AJ286:AJ297)</f>
        <v>0</v>
      </c>
      <c r="AT285" s="1">
        <f>SUM(AK286:AK297)</f>
        <v>0</v>
      </c>
      <c r="AU285" s="1">
        <f>SUM(AL286:AL297)</f>
        <v>0</v>
      </c>
    </row>
    <row r="286" spans="1:75" ht="13.5" customHeight="1" x14ac:dyDescent="0.25">
      <c r="A286" s="2" t="s">
        <v>656</v>
      </c>
      <c r="B286" s="3" t="s">
        <v>51</v>
      </c>
      <c r="C286" s="3" t="s">
        <v>657</v>
      </c>
      <c r="D286" s="76" t="s">
        <v>658</v>
      </c>
      <c r="E286" s="77"/>
      <c r="F286" s="3" t="s">
        <v>152</v>
      </c>
      <c r="G286" s="34">
        <v>616.59100000000001</v>
      </c>
      <c r="H286" s="34"/>
      <c r="I286" s="35" t="s">
        <v>59</v>
      </c>
      <c r="J286" s="34">
        <f>G286*AO286</f>
        <v>0</v>
      </c>
      <c r="K286" s="34">
        <f>G286*AP286</f>
        <v>0</v>
      </c>
      <c r="L286" s="34">
        <f>G286*H286</f>
        <v>0</v>
      </c>
      <c r="M286" s="34">
        <f>L286*(1+BW286/100)</f>
        <v>0</v>
      </c>
      <c r="N286" s="34">
        <v>0</v>
      </c>
      <c r="O286" s="34">
        <f>G286*N286</f>
        <v>0</v>
      </c>
      <c r="P286" s="36" t="s">
        <v>779</v>
      </c>
      <c r="Z286" s="34">
        <f>IF(AQ286="5",BJ286,0)</f>
        <v>0</v>
      </c>
      <c r="AB286" s="34">
        <f>IF(AQ286="1",BH286,0)</f>
        <v>0</v>
      </c>
      <c r="AC286" s="34">
        <f>IF(AQ286="1",BI286,0)</f>
        <v>0</v>
      </c>
      <c r="AD286" s="34">
        <f>IF(AQ286="7",BH286,0)</f>
        <v>0</v>
      </c>
      <c r="AE286" s="34">
        <f>IF(AQ286="7",BI286,0)</f>
        <v>0</v>
      </c>
      <c r="AF286" s="34">
        <f>IF(AQ286="2",BH286,0)</f>
        <v>0</v>
      </c>
      <c r="AG286" s="34">
        <f>IF(AQ286="2",BI286,0)</f>
        <v>0</v>
      </c>
      <c r="AH286" s="34">
        <f>IF(AQ286="0",BJ286,0)</f>
        <v>0</v>
      </c>
      <c r="AI286" s="11" t="s">
        <v>51</v>
      </c>
      <c r="AJ286" s="34">
        <f>IF(AN286=0,L286,0)</f>
        <v>0</v>
      </c>
      <c r="AK286" s="34">
        <f>IF(AN286=12,L286,0)</f>
        <v>0</v>
      </c>
      <c r="AL286" s="34">
        <f>IF(AN286=21,L286,0)</f>
        <v>0</v>
      </c>
      <c r="AN286" s="34">
        <v>21</v>
      </c>
      <c r="AO286" s="34">
        <f>H286*0</f>
        <v>0</v>
      </c>
      <c r="AP286" s="34">
        <f>H286*(1-0)</f>
        <v>0</v>
      </c>
      <c r="AQ286" s="35" t="s">
        <v>80</v>
      </c>
      <c r="AV286" s="34">
        <f>AW286+AX286</f>
        <v>0</v>
      </c>
      <c r="AW286" s="34">
        <f>G286*AO286</f>
        <v>0</v>
      </c>
      <c r="AX286" s="34">
        <f>G286*AP286</f>
        <v>0</v>
      </c>
      <c r="AY286" s="35" t="s">
        <v>659</v>
      </c>
      <c r="AZ286" s="35" t="s">
        <v>537</v>
      </c>
      <c r="BA286" s="11" t="s">
        <v>62</v>
      </c>
      <c r="BC286" s="34">
        <f>AW286+AX286</f>
        <v>0</v>
      </c>
      <c r="BD286" s="34">
        <f>H286/(100-BE286)*100</f>
        <v>0</v>
      </c>
      <c r="BE286" s="34">
        <v>0</v>
      </c>
      <c r="BF286" s="34">
        <f>O286</f>
        <v>0</v>
      </c>
      <c r="BH286" s="34">
        <f>G286*AO286</f>
        <v>0</v>
      </c>
      <c r="BI286" s="34">
        <f>G286*AP286</f>
        <v>0</v>
      </c>
      <c r="BJ286" s="34">
        <f>G286*H286</f>
        <v>0</v>
      </c>
      <c r="BK286" s="34"/>
      <c r="BL286" s="34"/>
      <c r="BW286" s="34" t="str">
        <f>I286</f>
        <v>21</v>
      </c>
    </row>
    <row r="287" spans="1:75" x14ac:dyDescent="0.25">
      <c r="A287" s="37"/>
      <c r="D287" s="38" t="s">
        <v>660</v>
      </c>
      <c r="E287" s="39" t="s">
        <v>50</v>
      </c>
      <c r="G287" s="40">
        <v>616.59100000000001</v>
      </c>
      <c r="P287" s="41"/>
    </row>
    <row r="288" spans="1:75" ht="13.5" customHeight="1" x14ac:dyDescent="0.25">
      <c r="A288" s="2" t="s">
        <v>661</v>
      </c>
      <c r="B288" s="3" t="s">
        <v>51</v>
      </c>
      <c r="C288" s="3" t="s">
        <v>662</v>
      </c>
      <c r="D288" s="76" t="s">
        <v>663</v>
      </c>
      <c r="E288" s="77"/>
      <c r="F288" s="3" t="s">
        <v>152</v>
      </c>
      <c r="G288" s="34">
        <v>11715.228999999999</v>
      </c>
      <c r="H288" s="34"/>
      <c r="I288" s="35" t="s">
        <v>59</v>
      </c>
      <c r="J288" s="34">
        <f>G288*AO288</f>
        <v>0</v>
      </c>
      <c r="K288" s="34">
        <f>G288*AP288</f>
        <v>0</v>
      </c>
      <c r="L288" s="34">
        <f>G288*H288</f>
        <v>0</v>
      </c>
      <c r="M288" s="34">
        <f>L288*(1+BW288/100)</f>
        <v>0</v>
      </c>
      <c r="N288" s="34">
        <v>0</v>
      </c>
      <c r="O288" s="34">
        <f>G288*N288</f>
        <v>0</v>
      </c>
      <c r="P288" s="36" t="s">
        <v>779</v>
      </c>
      <c r="Z288" s="34">
        <f>IF(AQ288="5",BJ288,0)</f>
        <v>0</v>
      </c>
      <c r="AB288" s="34">
        <f>IF(AQ288="1",BH288,0)</f>
        <v>0</v>
      </c>
      <c r="AC288" s="34">
        <f>IF(AQ288="1",BI288,0)</f>
        <v>0</v>
      </c>
      <c r="AD288" s="34">
        <f>IF(AQ288="7",BH288,0)</f>
        <v>0</v>
      </c>
      <c r="AE288" s="34">
        <f>IF(AQ288="7",BI288,0)</f>
        <v>0</v>
      </c>
      <c r="AF288" s="34">
        <f>IF(AQ288="2",BH288,0)</f>
        <v>0</v>
      </c>
      <c r="AG288" s="34">
        <f>IF(AQ288="2",BI288,0)</f>
        <v>0</v>
      </c>
      <c r="AH288" s="34">
        <f>IF(AQ288="0",BJ288,0)</f>
        <v>0</v>
      </c>
      <c r="AI288" s="11" t="s">
        <v>51</v>
      </c>
      <c r="AJ288" s="34">
        <f>IF(AN288=0,L288,0)</f>
        <v>0</v>
      </c>
      <c r="AK288" s="34">
        <f>IF(AN288=12,L288,0)</f>
        <v>0</v>
      </c>
      <c r="AL288" s="34">
        <f>IF(AN288=21,L288,0)</f>
        <v>0</v>
      </c>
      <c r="AN288" s="34">
        <v>21</v>
      </c>
      <c r="AO288" s="34">
        <f>H288*0</f>
        <v>0</v>
      </c>
      <c r="AP288" s="34">
        <f>H288*(1-0)</f>
        <v>0</v>
      </c>
      <c r="AQ288" s="35" t="s">
        <v>80</v>
      </c>
      <c r="AV288" s="34">
        <f>AW288+AX288</f>
        <v>0</v>
      </c>
      <c r="AW288" s="34">
        <f>G288*AO288</f>
        <v>0</v>
      </c>
      <c r="AX288" s="34">
        <f>G288*AP288</f>
        <v>0</v>
      </c>
      <c r="AY288" s="35" t="s">
        <v>659</v>
      </c>
      <c r="AZ288" s="35" t="s">
        <v>537</v>
      </c>
      <c r="BA288" s="11" t="s">
        <v>62</v>
      </c>
      <c r="BC288" s="34">
        <f>AW288+AX288</f>
        <v>0</v>
      </c>
      <c r="BD288" s="34">
        <f>H288/(100-BE288)*100</f>
        <v>0</v>
      </c>
      <c r="BE288" s="34">
        <v>0</v>
      </c>
      <c r="BF288" s="34">
        <f>O288</f>
        <v>0</v>
      </c>
      <c r="BH288" s="34">
        <f>G288*AO288</f>
        <v>0</v>
      </c>
      <c r="BI288" s="34">
        <f>G288*AP288</f>
        <v>0</v>
      </c>
      <c r="BJ288" s="34">
        <f>G288*H288</f>
        <v>0</v>
      </c>
      <c r="BK288" s="34"/>
      <c r="BL288" s="34"/>
      <c r="BW288" s="34" t="str">
        <f>I288</f>
        <v>21</v>
      </c>
    </row>
    <row r="289" spans="1:75" x14ac:dyDescent="0.25">
      <c r="A289" s="37"/>
      <c r="D289" s="38" t="s">
        <v>664</v>
      </c>
      <c r="E289" s="39" t="s">
        <v>665</v>
      </c>
      <c r="G289" s="40">
        <v>11715.228999999999</v>
      </c>
      <c r="P289" s="41"/>
    </row>
    <row r="290" spans="1:75" ht="13.5" customHeight="1" x14ac:dyDescent="0.25">
      <c r="A290" s="2" t="s">
        <v>666</v>
      </c>
      <c r="B290" s="3" t="s">
        <v>51</v>
      </c>
      <c r="C290" s="3" t="s">
        <v>667</v>
      </c>
      <c r="D290" s="76" t="s">
        <v>668</v>
      </c>
      <c r="E290" s="77"/>
      <c r="F290" s="3" t="s">
        <v>152</v>
      </c>
      <c r="G290" s="34">
        <v>616.59100000000001</v>
      </c>
      <c r="H290" s="34"/>
      <c r="I290" s="35" t="s">
        <v>59</v>
      </c>
      <c r="J290" s="34">
        <f>G290*AO290</f>
        <v>0</v>
      </c>
      <c r="K290" s="34">
        <f>G290*AP290</f>
        <v>0</v>
      </c>
      <c r="L290" s="34">
        <f>G290*H290</f>
        <v>0</v>
      </c>
      <c r="M290" s="34">
        <f>L290*(1+BW290/100)</f>
        <v>0</v>
      </c>
      <c r="N290" s="34">
        <v>0</v>
      </c>
      <c r="O290" s="34">
        <f>G290*N290</f>
        <v>0</v>
      </c>
      <c r="P290" s="36" t="s">
        <v>779</v>
      </c>
      <c r="Z290" s="34">
        <f>IF(AQ290="5",BJ290,0)</f>
        <v>0</v>
      </c>
      <c r="AB290" s="34">
        <f>IF(AQ290="1",BH290,0)</f>
        <v>0</v>
      </c>
      <c r="AC290" s="34">
        <f>IF(AQ290="1",BI290,0)</f>
        <v>0</v>
      </c>
      <c r="AD290" s="34">
        <f>IF(AQ290="7",BH290,0)</f>
        <v>0</v>
      </c>
      <c r="AE290" s="34">
        <f>IF(AQ290="7",BI290,0)</f>
        <v>0</v>
      </c>
      <c r="AF290" s="34">
        <f>IF(AQ290="2",BH290,0)</f>
        <v>0</v>
      </c>
      <c r="AG290" s="34">
        <f>IF(AQ290="2",BI290,0)</f>
        <v>0</v>
      </c>
      <c r="AH290" s="34">
        <f>IF(AQ290="0",BJ290,0)</f>
        <v>0</v>
      </c>
      <c r="AI290" s="11" t="s">
        <v>51</v>
      </c>
      <c r="AJ290" s="34">
        <f>IF(AN290=0,L290,0)</f>
        <v>0</v>
      </c>
      <c r="AK290" s="34">
        <f>IF(AN290=12,L290,0)</f>
        <v>0</v>
      </c>
      <c r="AL290" s="34">
        <f>IF(AN290=21,L290,0)</f>
        <v>0</v>
      </c>
      <c r="AN290" s="34">
        <v>21</v>
      </c>
      <c r="AO290" s="34">
        <f>H290*0</f>
        <v>0</v>
      </c>
      <c r="AP290" s="34">
        <f>H290*(1-0)</f>
        <v>0</v>
      </c>
      <c r="AQ290" s="35" t="s">
        <v>80</v>
      </c>
      <c r="AV290" s="34">
        <f>AW290+AX290</f>
        <v>0</v>
      </c>
      <c r="AW290" s="34">
        <f>G290*AO290</f>
        <v>0</v>
      </c>
      <c r="AX290" s="34">
        <f>G290*AP290</f>
        <v>0</v>
      </c>
      <c r="AY290" s="35" t="s">
        <v>659</v>
      </c>
      <c r="AZ290" s="35" t="s">
        <v>537</v>
      </c>
      <c r="BA290" s="11" t="s">
        <v>62</v>
      </c>
      <c r="BC290" s="34">
        <f>AW290+AX290</f>
        <v>0</v>
      </c>
      <c r="BD290" s="34">
        <f>H290/(100-BE290)*100</f>
        <v>0</v>
      </c>
      <c r="BE290" s="34">
        <v>0</v>
      </c>
      <c r="BF290" s="34">
        <f>O290</f>
        <v>0</v>
      </c>
      <c r="BH290" s="34">
        <f>G290*AO290</f>
        <v>0</v>
      </c>
      <c r="BI290" s="34">
        <f>G290*AP290</f>
        <v>0</v>
      </c>
      <c r="BJ290" s="34">
        <f>G290*H290</f>
        <v>0</v>
      </c>
      <c r="BK290" s="34"/>
      <c r="BL290" s="34"/>
      <c r="BW290" s="34" t="str">
        <f>I290</f>
        <v>21</v>
      </c>
    </row>
    <row r="291" spans="1:75" ht="13.5" customHeight="1" x14ac:dyDescent="0.25">
      <c r="A291" s="2" t="s">
        <v>669</v>
      </c>
      <c r="B291" s="3" t="s">
        <v>51</v>
      </c>
      <c r="C291" s="3" t="s">
        <v>670</v>
      </c>
      <c r="D291" s="76" t="s">
        <v>671</v>
      </c>
      <c r="E291" s="77"/>
      <c r="F291" s="3" t="s">
        <v>152</v>
      </c>
      <c r="G291" s="34">
        <v>0</v>
      </c>
      <c r="H291" s="34"/>
      <c r="I291" s="35" t="s">
        <v>59</v>
      </c>
      <c r="J291" s="34">
        <f>G291*AO291</f>
        <v>0</v>
      </c>
      <c r="K291" s="34">
        <f>G291*AP291</f>
        <v>0</v>
      </c>
      <c r="L291" s="34">
        <f>G291*H291</f>
        <v>0</v>
      </c>
      <c r="M291" s="34">
        <f>L291*(1+BW291/100)</f>
        <v>0</v>
      </c>
      <c r="N291" s="34">
        <v>0</v>
      </c>
      <c r="O291" s="34">
        <f>G291*N291</f>
        <v>0</v>
      </c>
      <c r="P291" s="36" t="s">
        <v>779</v>
      </c>
      <c r="Z291" s="34">
        <f>IF(AQ291="5",BJ291,0)</f>
        <v>0</v>
      </c>
      <c r="AB291" s="34">
        <f>IF(AQ291="1",BH291,0)</f>
        <v>0</v>
      </c>
      <c r="AC291" s="34">
        <f>IF(AQ291="1",BI291,0)</f>
        <v>0</v>
      </c>
      <c r="AD291" s="34">
        <f>IF(AQ291="7",BH291,0)</f>
        <v>0</v>
      </c>
      <c r="AE291" s="34">
        <f>IF(AQ291="7",BI291,0)</f>
        <v>0</v>
      </c>
      <c r="AF291" s="34">
        <f>IF(AQ291="2",BH291,0)</f>
        <v>0</v>
      </c>
      <c r="AG291" s="34">
        <f>IF(AQ291="2",BI291,0)</f>
        <v>0</v>
      </c>
      <c r="AH291" s="34">
        <f>IF(AQ291="0",BJ291,0)</f>
        <v>0</v>
      </c>
      <c r="AI291" s="11" t="s">
        <v>51</v>
      </c>
      <c r="AJ291" s="34">
        <f>IF(AN291=0,L291,0)</f>
        <v>0</v>
      </c>
      <c r="AK291" s="34">
        <f>IF(AN291=12,L291,0)</f>
        <v>0</v>
      </c>
      <c r="AL291" s="34">
        <f>IF(AN291=21,L291,0)</f>
        <v>0</v>
      </c>
      <c r="AN291" s="34">
        <v>21</v>
      </c>
      <c r="AO291" s="34">
        <f>H291*0</f>
        <v>0</v>
      </c>
      <c r="AP291" s="34">
        <f>H291*(1-0)</f>
        <v>0</v>
      </c>
      <c r="AQ291" s="35" t="s">
        <v>80</v>
      </c>
      <c r="AV291" s="34">
        <f>AW291+AX291</f>
        <v>0</v>
      </c>
      <c r="AW291" s="34">
        <f>G291*AO291</f>
        <v>0</v>
      </c>
      <c r="AX291" s="34">
        <f>G291*AP291</f>
        <v>0</v>
      </c>
      <c r="AY291" s="35" t="s">
        <v>659</v>
      </c>
      <c r="AZ291" s="35" t="s">
        <v>537</v>
      </c>
      <c r="BA291" s="11" t="s">
        <v>62</v>
      </c>
      <c r="BC291" s="34">
        <f>AW291+AX291</f>
        <v>0</v>
      </c>
      <c r="BD291" s="34">
        <f>H291/(100-BE291)*100</f>
        <v>0</v>
      </c>
      <c r="BE291" s="34">
        <v>0</v>
      </c>
      <c r="BF291" s="34">
        <f>O291</f>
        <v>0</v>
      </c>
      <c r="BH291" s="34">
        <f>G291*AO291</f>
        <v>0</v>
      </c>
      <c r="BI291" s="34">
        <f>G291*AP291</f>
        <v>0</v>
      </c>
      <c r="BJ291" s="34">
        <f>G291*H291</f>
        <v>0</v>
      </c>
      <c r="BK291" s="34"/>
      <c r="BL291" s="34"/>
      <c r="BW291" s="34" t="str">
        <f>I291</f>
        <v>21</v>
      </c>
    </row>
    <row r="292" spans="1:75" x14ac:dyDescent="0.25">
      <c r="A292" s="37"/>
      <c r="D292" s="38" t="s">
        <v>672</v>
      </c>
      <c r="E292" s="39" t="s">
        <v>673</v>
      </c>
      <c r="G292" s="40">
        <v>0</v>
      </c>
      <c r="P292" s="41"/>
    </row>
    <row r="293" spans="1:75" ht="13.5" customHeight="1" x14ac:dyDescent="0.25">
      <c r="A293" s="2" t="s">
        <v>674</v>
      </c>
      <c r="B293" s="3" t="s">
        <v>51</v>
      </c>
      <c r="C293" s="3" t="s">
        <v>675</v>
      </c>
      <c r="D293" s="76" t="s">
        <v>676</v>
      </c>
      <c r="E293" s="77"/>
      <c r="F293" s="3" t="s">
        <v>152</v>
      </c>
      <c r="G293" s="34">
        <v>148.59899999999999</v>
      </c>
      <c r="H293" s="34"/>
      <c r="I293" s="35" t="s">
        <v>59</v>
      </c>
      <c r="J293" s="34">
        <f>G293*AO293</f>
        <v>0</v>
      </c>
      <c r="K293" s="34">
        <f>G293*AP293</f>
        <v>0</v>
      </c>
      <c r="L293" s="34">
        <f>G293*H293</f>
        <v>0</v>
      </c>
      <c r="M293" s="34">
        <f>L293*(1+BW293/100)</f>
        <v>0</v>
      </c>
      <c r="N293" s="34">
        <v>0</v>
      </c>
      <c r="O293" s="34">
        <f>G293*N293</f>
        <v>0</v>
      </c>
      <c r="P293" s="36" t="s">
        <v>779</v>
      </c>
      <c r="Z293" s="34">
        <f>IF(AQ293="5",BJ293,0)</f>
        <v>0</v>
      </c>
      <c r="AB293" s="34">
        <f>IF(AQ293="1",BH293,0)</f>
        <v>0</v>
      </c>
      <c r="AC293" s="34">
        <f>IF(AQ293="1",BI293,0)</f>
        <v>0</v>
      </c>
      <c r="AD293" s="34">
        <f>IF(AQ293="7",BH293,0)</f>
        <v>0</v>
      </c>
      <c r="AE293" s="34">
        <f>IF(AQ293="7",BI293,0)</f>
        <v>0</v>
      </c>
      <c r="AF293" s="34">
        <f>IF(AQ293="2",BH293,0)</f>
        <v>0</v>
      </c>
      <c r="AG293" s="34">
        <f>IF(AQ293="2",BI293,0)</f>
        <v>0</v>
      </c>
      <c r="AH293" s="34">
        <f>IF(AQ293="0",BJ293,0)</f>
        <v>0</v>
      </c>
      <c r="AI293" s="11" t="s">
        <v>51</v>
      </c>
      <c r="AJ293" s="34">
        <f>IF(AN293=0,L293,0)</f>
        <v>0</v>
      </c>
      <c r="AK293" s="34">
        <f>IF(AN293=12,L293,0)</f>
        <v>0</v>
      </c>
      <c r="AL293" s="34">
        <f>IF(AN293=21,L293,0)</f>
        <v>0</v>
      </c>
      <c r="AN293" s="34">
        <v>21</v>
      </c>
      <c r="AO293" s="34">
        <f>H293*0</f>
        <v>0</v>
      </c>
      <c r="AP293" s="34">
        <f>H293*(1-0)</f>
        <v>0</v>
      </c>
      <c r="AQ293" s="35" t="s">
        <v>80</v>
      </c>
      <c r="AV293" s="34">
        <f>AW293+AX293</f>
        <v>0</v>
      </c>
      <c r="AW293" s="34">
        <f>G293*AO293</f>
        <v>0</v>
      </c>
      <c r="AX293" s="34">
        <f>G293*AP293</f>
        <v>0</v>
      </c>
      <c r="AY293" s="35" t="s">
        <v>659</v>
      </c>
      <c r="AZ293" s="35" t="s">
        <v>537</v>
      </c>
      <c r="BA293" s="11" t="s">
        <v>62</v>
      </c>
      <c r="BC293" s="34">
        <f>AW293+AX293</f>
        <v>0</v>
      </c>
      <c r="BD293" s="34">
        <f>H293/(100-BE293)*100</f>
        <v>0</v>
      </c>
      <c r="BE293" s="34">
        <v>0</v>
      </c>
      <c r="BF293" s="34">
        <f>O293</f>
        <v>0</v>
      </c>
      <c r="BH293" s="34">
        <f>G293*AO293</f>
        <v>0</v>
      </c>
      <c r="BI293" s="34">
        <f>G293*AP293</f>
        <v>0</v>
      </c>
      <c r="BJ293" s="34">
        <f>G293*H293</f>
        <v>0</v>
      </c>
      <c r="BK293" s="34"/>
      <c r="BL293" s="34"/>
      <c r="BW293" s="34" t="str">
        <f>I293</f>
        <v>21</v>
      </c>
    </row>
    <row r="294" spans="1:75" x14ac:dyDescent="0.25">
      <c r="A294" s="37"/>
      <c r="D294" s="38" t="s">
        <v>677</v>
      </c>
      <c r="E294" s="39" t="s">
        <v>50</v>
      </c>
      <c r="G294" s="40">
        <v>148.59899999999999</v>
      </c>
      <c r="P294" s="41"/>
    </row>
    <row r="295" spans="1:75" ht="13.5" customHeight="1" x14ac:dyDescent="0.25">
      <c r="A295" s="2" t="s">
        <v>678</v>
      </c>
      <c r="B295" s="3" t="s">
        <v>51</v>
      </c>
      <c r="C295" s="3" t="s">
        <v>679</v>
      </c>
      <c r="D295" s="76" t="s">
        <v>680</v>
      </c>
      <c r="E295" s="77"/>
      <c r="F295" s="3" t="s">
        <v>152</v>
      </c>
      <c r="G295" s="34">
        <v>76.804000000000002</v>
      </c>
      <c r="H295" s="34"/>
      <c r="I295" s="35" t="s">
        <v>59</v>
      </c>
      <c r="J295" s="34">
        <f>G295*AO295</f>
        <v>0</v>
      </c>
      <c r="K295" s="34">
        <f>G295*AP295</f>
        <v>0</v>
      </c>
      <c r="L295" s="34">
        <f>G295*H295</f>
        <v>0</v>
      </c>
      <c r="M295" s="34">
        <f>L295*(1+BW295/100)</f>
        <v>0</v>
      </c>
      <c r="N295" s="34">
        <v>0</v>
      </c>
      <c r="O295" s="34">
        <f>G295*N295</f>
        <v>0</v>
      </c>
      <c r="P295" s="36" t="s">
        <v>779</v>
      </c>
      <c r="Z295" s="34">
        <f>IF(AQ295="5",BJ295,0)</f>
        <v>0</v>
      </c>
      <c r="AB295" s="34">
        <f>IF(AQ295="1",BH295,0)</f>
        <v>0</v>
      </c>
      <c r="AC295" s="34">
        <f>IF(AQ295="1",BI295,0)</f>
        <v>0</v>
      </c>
      <c r="AD295" s="34">
        <f>IF(AQ295="7",BH295,0)</f>
        <v>0</v>
      </c>
      <c r="AE295" s="34">
        <f>IF(AQ295="7",BI295,0)</f>
        <v>0</v>
      </c>
      <c r="AF295" s="34">
        <f>IF(AQ295="2",BH295,0)</f>
        <v>0</v>
      </c>
      <c r="AG295" s="34">
        <f>IF(AQ295="2",BI295,0)</f>
        <v>0</v>
      </c>
      <c r="AH295" s="34">
        <f>IF(AQ295="0",BJ295,0)</f>
        <v>0</v>
      </c>
      <c r="AI295" s="11" t="s">
        <v>51</v>
      </c>
      <c r="AJ295" s="34">
        <f>IF(AN295=0,L295,0)</f>
        <v>0</v>
      </c>
      <c r="AK295" s="34">
        <f>IF(AN295=12,L295,0)</f>
        <v>0</v>
      </c>
      <c r="AL295" s="34">
        <f>IF(AN295=21,L295,0)</f>
        <v>0</v>
      </c>
      <c r="AN295" s="34">
        <v>21</v>
      </c>
      <c r="AO295" s="34">
        <f>H295*0</f>
        <v>0</v>
      </c>
      <c r="AP295" s="34">
        <f>H295*(1-0)</f>
        <v>0</v>
      </c>
      <c r="AQ295" s="35" t="s">
        <v>80</v>
      </c>
      <c r="AV295" s="34">
        <f>AW295+AX295</f>
        <v>0</v>
      </c>
      <c r="AW295" s="34">
        <f>G295*AO295</f>
        <v>0</v>
      </c>
      <c r="AX295" s="34">
        <f>G295*AP295</f>
        <v>0</v>
      </c>
      <c r="AY295" s="35" t="s">
        <v>659</v>
      </c>
      <c r="AZ295" s="35" t="s">
        <v>537</v>
      </c>
      <c r="BA295" s="11" t="s">
        <v>62</v>
      </c>
      <c r="BC295" s="34">
        <f>AW295+AX295</f>
        <v>0</v>
      </c>
      <c r="BD295" s="34">
        <f>H295/(100-BE295)*100</f>
        <v>0</v>
      </c>
      <c r="BE295" s="34">
        <v>0</v>
      </c>
      <c r="BF295" s="34">
        <f>O295</f>
        <v>0</v>
      </c>
      <c r="BH295" s="34">
        <f>G295*AO295</f>
        <v>0</v>
      </c>
      <c r="BI295" s="34">
        <f>G295*AP295</f>
        <v>0</v>
      </c>
      <c r="BJ295" s="34">
        <f>G295*H295</f>
        <v>0</v>
      </c>
      <c r="BK295" s="34"/>
      <c r="BL295" s="34"/>
      <c r="BW295" s="34" t="str">
        <f>I295</f>
        <v>21</v>
      </c>
    </row>
    <row r="296" spans="1:75" x14ac:dyDescent="0.25">
      <c r="A296" s="37"/>
      <c r="D296" s="38" t="s">
        <v>681</v>
      </c>
      <c r="E296" s="39" t="s">
        <v>682</v>
      </c>
      <c r="G296" s="40">
        <v>76.804000000000002</v>
      </c>
      <c r="P296" s="41"/>
    </row>
    <row r="297" spans="1:75" ht="13.5" customHeight="1" x14ac:dyDescent="0.25">
      <c r="A297" s="2" t="s">
        <v>683</v>
      </c>
      <c r="B297" s="3" t="s">
        <v>51</v>
      </c>
      <c r="C297" s="3" t="s">
        <v>684</v>
      </c>
      <c r="D297" s="76" t="s">
        <v>685</v>
      </c>
      <c r="E297" s="77"/>
      <c r="F297" s="3" t="s">
        <v>152</v>
      </c>
      <c r="G297" s="34">
        <v>391.18799999999999</v>
      </c>
      <c r="H297" s="34"/>
      <c r="I297" s="35" t="s">
        <v>59</v>
      </c>
      <c r="J297" s="34">
        <f>G297*AO297</f>
        <v>0</v>
      </c>
      <c r="K297" s="34">
        <f>G297*AP297</f>
        <v>0</v>
      </c>
      <c r="L297" s="34">
        <f>G297*H297</f>
        <v>0</v>
      </c>
      <c r="M297" s="34">
        <f>L297*(1+BW297/100)</f>
        <v>0</v>
      </c>
      <c r="N297" s="34">
        <v>0</v>
      </c>
      <c r="O297" s="34">
        <f>G297*N297</f>
        <v>0</v>
      </c>
      <c r="P297" s="36" t="s">
        <v>779</v>
      </c>
      <c r="Z297" s="34">
        <f>IF(AQ297="5",BJ297,0)</f>
        <v>0</v>
      </c>
      <c r="AB297" s="34">
        <f>IF(AQ297="1",BH297,0)</f>
        <v>0</v>
      </c>
      <c r="AC297" s="34">
        <f>IF(AQ297="1",BI297,0)</f>
        <v>0</v>
      </c>
      <c r="AD297" s="34">
        <f>IF(AQ297="7",BH297,0)</f>
        <v>0</v>
      </c>
      <c r="AE297" s="34">
        <f>IF(AQ297="7",BI297,0)</f>
        <v>0</v>
      </c>
      <c r="AF297" s="34">
        <f>IF(AQ297="2",BH297,0)</f>
        <v>0</v>
      </c>
      <c r="AG297" s="34">
        <f>IF(AQ297="2",BI297,0)</f>
        <v>0</v>
      </c>
      <c r="AH297" s="34">
        <f>IF(AQ297="0",BJ297,0)</f>
        <v>0</v>
      </c>
      <c r="AI297" s="11" t="s">
        <v>51</v>
      </c>
      <c r="AJ297" s="34">
        <f>IF(AN297=0,L297,0)</f>
        <v>0</v>
      </c>
      <c r="AK297" s="34">
        <f>IF(AN297=12,L297,0)</f>
        <v>0</v>
      </c>
      <c r="AL297" s="34">
        <f>IF(AN297=21,L297,0)</f>
        <v>0</v>
      </c>
      <c r="AN297" s="34">
        <v>21</v>
      </c>
      <c r="AO297" s="34">
        <f>H297*0</f>
        <v>0</v>
      </c>
      <c r="AP297" s="34">
        <f>H297*(1-0)</f>
        <v>0</v>
      </c>
      <c r="AQ297" s="35" t="s">
        <v>80</v>
      </c>
      <c r="AV297" s="34">
        <f>AW297+AX297</f>
        <v>0</v>
      </c>
      <c r="AW297" s="34">
        <f>G297*AO297</f>
        <v>0</v>
      </c>
      <c r="AX297" s="34">
        <f>G297*AP297</f>
        <v>0</v>
      </c>
      <c r="AY297" s="35" t="s">
        <v>659</v>
      </c>
      <c r="AZ297" s="35" t="s">
        <v>537</v>
      </c>
      <c r="BA297" s="11" t="s">
        <v>62</v>
      </c>
      <c r="BC297" s="34">
        <f>AW297+AX297</f>
        <v>0</v>
      </c>
      <c r="BD297" s="34">
        <f>H297/(100-BE297)*100</f>
        <v>0</v>
      </c>
      <c r="BE297" s="34">
        <v>0</v>
      </c>
      <c r="BF297" s="34">
        <f>O297</f>
        <v>0</v>
      </c>
      <c r="BH297" s="34">
        <f>G297*AO297</f>
        <v>0</v>
      </c>
      <c r="BI297" s="34">
        <f>G297*AP297</f>
        <v>0</v>
      </c>
      <c r="BJ297" s="34">
        <f>G297*H297</f>
        <v>0</v>
      </c>
      <c r="BK297" s="34"/>
      <c r="BL297" s="34"/>
      <c r="BW297" s="34" t="str">
        <f>I297</f>
        <v>21</v>
      </c>
    </row>
    <row r="298" spans="1:75" x14ac:dyDescent="0.25">
      <c r="A298" s="37"/>
      <c r="D298" s="38" t="s">
        <v>686</v>
      </c>
      <c r="E298" s="39" t="s">
        <v>687</v>
      </c>
      <c r="G298" s="40">
        <v>391.18799999999999</v>
      </c>
      <c r="P298" s="41"/>
    </row>
    <row r="299" spans="1:75" x14ac:dyDescent="0.25">
      <c r="A299" s="30" t="s">
        <v>50</v>
      </c>
      <c r="B299" s="31" t="s">
        <v>51</v>
      </c>
      <c r="C299" s="31" t="s">
        <v>50</v>
      </c>
      <c r="D299" s="130" t="s">
        <v>688</v>
      </c>
      <c r="E299" s="131"/>
      <c r="F299" s="32" t="s">
        <v>3</v>
      </c>
      <c r="G299" s="32" t="s">
        <v>3</v>
      </c>
      <c r="H299" s="32" t="s">
        <v>3</v>
      </c>
      <c r="I299" s="32" t="s">
        <v>3</v>
      </c>
      <c r="J299" s="1">
        <f>J300+J302+J310</f>
        <v>0</v>
      </c>
      <c r="K299" s="1">
        <f>K300+K302+K310</f>
        <v>0</v>
      </c>
      <c r="L299" s="1">
        <f>L300+L302+L310</f>
        <v>0</v>
      </c>
      <c r="M299" s="1">
        <f>M300+M302+M310</f>
        <v>0</v>
      </c>
      <c r="N299" s="11" t="s">
        <v>50</v>
      </c>
      <c r="O299" s="1">
        <f>O300+O302+O310</f>
        <v>0</v>
      </c>
      <c r="P299" s="33" t="s">
        <v>50</v>
      </c>
      <c r="AI299" s="11" t="s">
        <v>51</v>
      </c>
    </row>
    <row r="300" spans="1:75" x14ac:dyDescent="0.25">
      <c r="A300" s="30" t="s">
        <v>50</v>
      </c>
      <c r="B300" s="31" t="s">
        <v>51</v>
      </c>
      <c r="C300" s="31" t="s">
        <v>689</v>
      </c>
      <c r="D300" s="130" t="s">
        <v>690</v>
      </c>
      <c r="E300" s="131"/>
      <c r="F300" s="32" t="s">
        <v>3</v>
      </c>
      <c r="G300" s="32" t="s">
        <v>3</v>
      </c>
      <c r="H300" s="32" t="s">
        <v>3</v>
      </c>
      <c r="I300" s="32" t="s">
        <v>3</v>
      </c>
      <c r="J300" s="1">
        <f>SUM(J301:J301)</f>
        <v>0</v>
      </c>
      <c r="K300" s="1">
        <f>SUM(K301:K301)</f>
        <v>0</v>
      </c>
      <c r="L300" s="1">
        <f>SUM(L301:L301)</f>
        <v>0</v>
      </c>
      <c r="M300" s="1">
        <f>SUM(M301:M301)</f>
        <v>0</v>
      </c>
      <c r="N300" s="11" t="s">
        <v>50</v>
      </c>
      <c r="O300" s="1">
        <f>SUM(O301:O301)</f>
        <v>0</v>
      </c>
      <c r="P300" s="33" t="s">
        <v>50</v>
      </c>
      <c r="AI300" s="11" t="s">
        <v>51</v>
      </c>
      <c r="AS300" s="1">
        <f>SUM(AJ301:AJ301)</f>
        <v>0</v>
      </c>
      <c r="AT300" s="1">
        <f>SUM(AK301:AK301)</f>
        <v>0</v>
      </c>
      <c r="AU300" s="1">
        <f>SUM(AL301:AL301)</f>
        <v>0</v>
      </c>
    </row>
    <row r="301" spans="1:75" ht="13.5" customHeight="1" x14ac:dyDescent="0.25">
      <c r="A301" s="2" t="s">
        <v>691</v>
      </c>
      <c r="B301" s="3" t="s">
        <v>51</v>
      </c>
      <c r="C301" s="3" t="s">
        <v>692</v>
      </c>
      <c r="D301" s="76" t="s">
        <v>693</v>
      </c>
      <c r="E301" s="77"/>
      <c r="F301" s="3" t="s">
        <v>487</v>
      </c>
      <c r="G301" s="34">
        <v>1</v>
      </c>
      <c r="H301" s="34"/>
      <c r="I301" s="35" t="s">
        <v>59</v>
      </c>
      <c r="J301" s="34">
        <f>G301*AO301</f>
        <v>0</v>
      </c>
      <c r="K301" s="34">
        <f>G301*AP301</f>
        <v>0</v>
      </c>
      <c r="L301" s="34">
        <f>G301*H301</f>
        <v>0</v>
      </c>
      <c r="M301" s="34">
        <f>L301*(1+BW301/100)</f>
        <v>0</v>
      </c>
      <c r="N301" s="34">
        <v>0</v>
      </c>
      <c r="O301" s="34">
        <f>G301*N301</f>
        <v>0</v>
      </c>
      <c r="P301" s="36" t="s">
        <v>779</v>
      </c>
      <c r="Z301" s="34">
        <f>IF(AQ301="5",BJ301,0)</f>
        <v>0</v>
      </c>
      <c r="AB301" s="34">
        <f>IF(AQ301="1",BH301,0)</f>
        <v>0</v>
      </c>
      <c r="AC301" s="34">
        <f>IF(AQ301="1",BI301,0)</f>
        <v>0</v>
      </c>
      <c r="AD301" s="34">
        <f>IF(AQ301="7",BH301,0)</f>
        <v>0</v>
      </c>
      <c r="AE301" s="34">
        <f>IF(AQ301="7",BI301,0)</f>
        <v>0</v>
      </c>
      <c r="AF301" s="34">
        <f>IF(AQ301="2",BH301,0)</f>
        <v>0</v>
      </c>
      <c r="AG301" s="34">
        <f>IF(AQ301="2",BI301,0)</f>
        <v>0</v>
      </c>
      <c r="AH301" s="34">
        <f>IF(AQ301="0",BJ301,0)</f>
        <v>0</v>
      </c>
      <c r="AI301" s="11" t="s">
        <v>51</v>
      </c>
      <c r="AJ301" s="34">
        <f>IF(AN301=0,L301,0)</f>
        <v>0</v>
      </c>
      <c r="AK301" s="34">
        <f>IF(AN301=12,L301,0)</f>
        <v>0</v>
      </c>
      <c r="AL301" s="34">
        <f>IF(AN301=21,L301,0)</f>
        <v>0</v>
      </c>
      <c r="AN301" s="34">
        <v>21</v>
      </c>
      <c r="AO301" s="34">
        <f>H301*0</f>
        <v>0</v>
      </c>
      <c r="AP301" s="34">
        <f>H301*(1-0)</f>
        <v>0</v>
      </c>
      <c r="AQ301" s="35" t="s">
        <v>468</v>
      </c>
      <c r="AV301" s="34">
        <f>AW301+AX301</f>
        <v>0</v>
      </c>
      <c r="AW301" s="34">
        <f>G301*AO301</f>
        <v>0</v>
      </c>
      <c r="AX301" s="34">
        <f>G301*AP301</f>
        <v>0</v>
      </c>
      <c r="AY301" s="35" t="s">
        <v>694</v>
      </c>
      <c r="AZ301" s="35" t="s">
        <v>695</v>
      </c>
      <c r="BA301" s="11" t="s">
        <v>62</v>
      </c>
      <c r="BC301" s="34">
        <f>AW301+AX301</f>
        <v>0</v>
      </c>
      <c r="BD301" s="34">
        <f>H301/(100-BE301)*100</f>
        <v>0</v>
      </c>
      <c r="BE301" s="34">
        <v>0</v>
      </c>
      <c r="BF301" s="34">
        <f>O301</f>
        <v>0</v>
      </c>
      <c r="BH301" s="34">
        <f>G301*AO301</f>
        <v>0</v>
      </c>
      <c r="BI301" s="34">
        <f>G301*AP301</f>
        <v>0</v>
      </c>
      <c r="BJ301" s="34">
        <f>G301*H301</f>
        <v>0</v>
      </c>
      <c r="BK301" s="34"/>
      <c r="BL301" s="34"/>
      <c r="BM301" s="34">
        <f>G301*H301</f>
        <v>0</v>
      </c>
      <c r="BW301" s="34" t="str">
        <f>I301</f>
        <v>21</v>
      </c>
    </row>
    <row r="302" spans="1:75" x14ac:dyDescent="0.25">
      <c r="A302" s="30" t="s">
        <v>50</v>
      </c>
      <c r="B302" s="31" t="s">
        <v>51</v>
      </c>
      <c r="C302" s="31" t="s">
        <v>697</v>
      </c>
      <c r="D302" s="130" t="s">
        <v>698</v>
      </c>
      <c r="E302" s="131"/>
      <c r="F302" s="32" t="s">
        <v>3</v>
      </c>
      <c r="G302" s="32" t="s">
        <v>3</v>
      </c>
      <c r="H302" s="32" t="s">
        <v>3</v>
      </c>
      <c r="I302" s="32" t="s">
        <v>3</v>
      </c>
      <c r="J302" s="1">
        <f>SUM(J303:J309)</f>
        <v>0</v>
      </c>
      <c r="K302" s="1">
        <f>SUM(K303:K309)</f>
        <v>0</v>
      </c>
      <c r="L302" s="1">
        <f>SUM(L303:L309)</f>
        <v>0</v>
      </c>
      <c r="M302" s="1">
        <f>SUM(M303:M309)</f>
        <v>0</v>
      </c>
      <c r="N302" s="11" t="s">
        <v>50</v>
      </c>
      <c r="O302" s="1">
        <f>SUM(O303:O309)</f>
        <v>0</v>
      </c>
      <c r="P302" s="33" t="s">
        <v>50</v>
      </c>
      <c r="AI302" s="11" t="s">
        <v>51</v>
      </c>
      <c r="AS302" s="1">
        <f>SUM(AJ303:AJ309)</f>
        <v>0</v>
      </c>
      <c r="AT302" s="1">
        <f>SUM(AK303:AK309)</f>
        <v>0</v>
      </c>
      <c r="AU302" s="1">
        <f>SUM(AL303:AL309)</f>
        <v>0</v>
      </c>
    </row>
    <row r="303" spans="1:75" ht="13.5" customHeight="1" x14ac:dyDescent="0.25">
      <c r="A303" s="2" t="s">
        <v>700</v>
      </c>
      <c r="B303" s="3" t="s">
        <v>51</v>
      </c>
      <c r="C303" s="3" t="s">
        <v>701</v>
      </c>
      <c r="D303" s="76" t="s">
        <v>702</v>
      </c>
      <c r="E303" s="77"/>
      <c r="F303" s="3" t="s">
        <v>487</v>
      </c>
      <c r="G303" s="34">
        <v>6</v>
      </c>
      <c r="H303" s="34"/>
      <c r="I303" s="35" t="s">
        <v>59</v>
      </c>
      <c r="J303" s="34">
        <f>G303*AO303</f>
        <v>0</v>
      </c>
      <c r="K303" s="34">
        <f>G303*AP303</f>
        <v>0</v>
      </c>
      <c r="L303" s="34">
        <f>G303*H303</f>
        <v>0</v>
      </c>
      <c r="M303" s="34">
        <f>L303*(1+BW303/100)</f>
        <v>0</v>
      </c>
      <c r="N303" s="34">
        <v>0</v>
      </c>
      <c r="O303" s="34">
        <f>G303*N303</f>
        <v>0</v>
      </c>
      <c r="P303" s="36" t="s">
        <v>779</v>
      </c>
      <c r="Z303" s="34">
        <f>IF(AQ303="5",BJ303,0)</f>
        <v>0</v>
      </c>
      <c r="AB303" s="34">
        <f>IF(AQ303="1",BH303,0)</f>
        <v>0</v>
      </c>
      <c r="AC303" s="34">
        <f>IF(AQ303="1",BI303,0)</f>
        <v>0</v>
      </c>
      <c r="AD303" s="34">
        <f>IF(AQ303="7",BH303,0)</f>
        <v>0</v>
      </c>
      <c r="AE303" s="34">
        <f>IF(AQ303="7",BI303,0)</f>
        <v>0</v>
      </c>
      <c r="AF303" s="34">
        <f>IF(AQ303="2",BH303,0)</f>
        <v>0</v>
      </c>
      <c r="AG303" s="34">
        <f>IF(AQ303="2",BI303,0)</f>
        <v>0</v>
      </c>
      <c r="AH303" s="34">
        <f>IF(AQ303="0",BJ303,0)</f>
        <v>0</v>
      </c>
      <c r="AI303" s="11" t="s">
        <v>51</v>
      </c>
      <c r="AJ303" s="34">
        <f>IF(AN303=0,L303,0)</f>
        <v>0</v>
      </c>
      <c r="AK303" s="34">
        <f>IF(AN303=12,L303,0)</f>
        <v>0</v>
      </c>
      <c r="AL303" s="34">
        <f>IF(AN303=21,L303,0)</f>
        <v>0</v>
      </c>
      <c r="AN303" s="34">
        <v>21</v>
      </c>
      <c r="AO303" s="34">
        <f>H303*0</f>
        <v>0</v>
      </c>
      <c r="AP303" s="34">
        <f>H303*(1-0)</f>
        <v>0</v>
      </c>
      <c r="AQ303" s="35" t="s">
        <v>468</v>
      </c>
      <c r="AV303" s="34">
        <f>AW303+AX303</f>
        <v>0</v>
      </c>
      <c r="AW303" s="34">
        <f>G303*AO303</f>
        <v>0</v>
      </c>
      <c r="AX303" s="34">
        <f>G303*AP303</f>
        <v>0</v>
      </c>
      <c r="AY303" s="35" t="s">
        <v>699</v>
      </c>
      <c r="AZ303" s="35" t="s">
        <v>695</v>
      </c>
      <c r="BA303" s="11" t="s">
        <v>62</v>
      </c>
      <c r="BC303" s="34">
        <f>AW303+AX303</f>
        <v>0</v>
      </c>
      <c r="BD303" s="34">
        <f>H303/(100-BE303)*100</f>
        <v>0</v>
      </c>
      <c r="BE303" s="34">
        <v>0</v>
      </c>
      <c r="BF303" s="34">
        <f>O303</f>
        <v>0</v>
      </c>
      <c r="BH303" s="34">
        <f>G303*AO303</f>
        <v>0</v>
      </c>
      <c r="BI303" s="34">
        <f>G303*AP303</f>
        <v>0</v>
      </c>
      <c r="BJ303" s="34">
        <f>G303*H303</f>
        <v>0</v>
      </c>
      <c r="BK303" s="34"/>
      <c r="BL303" s="34"/>
      <c r="BP303" s="34">
        <f>G303*H303</f>
        <v>0</v>
      </c>
      <c r="BW303" s="34" t="str">
        <f>I303</f>
        <v>21</v>
      </c>
    </row>
    <row r="304" spans="1:75" x14ac:dyDescent="0.25">
      <c r="A304" s="37"/>
      <c r="D304" s="38" t="s">
        <v>65</v>
      </c>
      <c r="E304" s="39" t="s">
        <v>703</v>
      </c>
      <c r="G304" s="40">
        <v>2</v>
      </c>
      <c r="P304" s="41"/>
    </row>
    <row r="305" spans="1:75" x14ac:dyDescent="0.25">
      <c r="A305" s="37"/>
      <c r="D305" s="38" t="s">
        <v>65</v>
      </c>
      <c r="E305" s="39" t="s">
        <v>704</v>
      </c>
      <c r="G305" s="40">
        <v>2</v>
      </c>
      <c r="P305" s="41"/>
    </row>
    <row r="306" spans="1:75" x14ac:dyDescent="0.25">
      <c r="A306" s="37"/>
      <c r="D306" s="38" t="s">
        <v>65</v>
      </c>
      <c r="E306" s="39" t="s">
        <v>705</v>
      </c>
      <c r="G306" s="40">
        <v>2</v>
      </c>
      <c r="P306" s="41"/>
    </row>
    <row r="307" spans="1:75" ht="13.5" customHeight="1" x14ac:dyDescent="0.25">
      <c r="A307" s="2" t="s">
        <v>706</v>
      </c>
      <c r="B307" s="3" t="s">
        <v>51</v>
      </c>
      <c r="C307" s="3" t="s">
        <v>707</v>
      </c>
      <c r="D307" s="76" t="s">
        <v>708</v>
      </c>
      <c r="E307" s="77"/>
      <c r="F307" s="3" t="s">
        <v>487</v>
      </c>
      <c r="G307" s="34">
        <v>20</v>
      </c>
      <c r="H307" s="34"/>
      <c r="I307" s="35" t="s">
        <v>59</v>
      </c>
      <c r="J307" s="34">
        <f>G307*AO307</f>
        <v>0</v>
      </c>
      <c r="K307" s="34">
        <f>G307*AP307</f>
        <v>0</v>
      </c>
      <c r="L307" s="34">
        <f>G307*H307</f>
        <v>0</v>
      </c>
      <c r="M307" s="34">
        <f>L307*(1+BW307/100)</f>
        <v>0</v>
      </c>
      <c r="N307" s="34">
        <v>0</v>
      </c>
      <c r="O307" s="34">
        <f>G307*N307</f>
        <v>0</v>
      </c>
      <c r="P307" s="36" t="s">
        <v>50</v>
      </c>
      <c r="Z307" s="34">
        <f>IF(AQ307="5",BJ307,0)</f>
        <v>0</v>
      </c>
      <c r="AB307" s="34">
        <f>IF(AQ307="1",BH307,0)</f>
        <v>0</v>
      </c>
      <c r="AC307" s="34">
        <f>IF(AQ307="1",BI307,0)</f>
        <v>0</v>
      </c>
      <c r="AD307" s="34">
        <f>IF(AQ307="7",BH307,0)</f>
        <v>0</v>
      </c>
      <c r="AE307" s="34">
        <f>IF(AQ307="7",BI307,0)</f>
        <v>0</v>
      </c>
      <c r="AF307" s="34">
        <f>IF(AQ307="2",BH307,0)</f>
        <v>0</v>
      </c>
      <c r="AG307" s="34">
        <f>IF(AQ307="2",BI307,0)</f>
        <v>0</v>
      </c>
      <c r="AH307" s="34">
        <f>IF(AQ307="0",BJ307,0)</f>
        <v>0</v>
      </c>
      <c r="AI307" s="11" t="s">
        <v>51</v>
      </c>
      <c r="AJ307" s="34">
        <f>IF(AN307=0,L307,0)</f>
        <v>0</v>
      </c>
      <c r="AK307" s="34">
        <f>IF(AN307=12,L307,0)</f>
        <v>0</v>
      </c>
      <c r="AL307" s="34">
        <f>IF(AN307=21,L307,0)</f>
        <v>0</v>
      </c>
      <c r="AN307" s="34">
        <v>21</v>
      </c>
      <c r="AO307" s="34">
        <f>H307*0</f>
        <v>0</v>
      </c>
      <c r="AP307" s="34">
        <f>H307*(1-0)</f>
        <v>0</v>
      </c>
      <c r="AQ307" s="35" t="s">
        <v>468</v>
      </c>
      <c r="AV307" s="34">
        <f>AW307+AX307</f>
        <v>0</v>
      </c>
      <c r="AW307" s="34">
        <f>G307*AO307</f>
        <v>0</v>
      </c>
      <c r="AX307" s="34">
        <f>G307*AP307</f>
        <v>0</v>
      </c>
      <c r="AY307" s="35" t="s">
        <v>699</v>
      </c>
      <c r="AZ307" s="35" t="s">
        <v>695</v>
      </c>
      <c r="BA307" s="11" t="s">
        <v>62</v>
      </c>
      <c r="BC307" s="34">
        <f>AW307+AX307</f>
        <v>0</v>
      </c>
      <c r="BD307" s="34">
        <f>H307/(100-BE307)*100</f>
        <v>0</v>
      </c>
      <c r="BE307" s="34">
        <v>0</v>
      </c>
      <c r="BF307" s="34">
        <f>O307</f>
        <v>0</v>
      </c>
      <c r="BH307" s="34">
        <f>G307*AO307</f>
        <v>0</v>
      </c>
      <c r="BI307" s="34">
        <f>G307*AP307</f>
        <v>0</v>
      </c>
      <c r="BJ307" s="34">
        <f>G307*H307</f>
        <v>0</v>
      </c>
      <c r="BK307" s="34"/>
      <c r="BL307" s="34"/>
      <c r="BP307" s="34">
        <f>G307*H307</f>
        <v>0</v>
      </c>
      <c r="BW307" s="34" t="str">
        <f>I307</f>
        <v>21</v>
      </c>
    </row>
    <row r="308" spans="1:75" x14ac:dyDescent="0.25">
      <c r="A308" s="37"/>
      <c r="D308" s="38" t="s">
        <v>161</v>
      </c>
      <c r="E308" s="39" t="s">
        <v>709</v>
      </c>
      <c r="G308" s="40">
        <v>20</v>
      </c>
      <c r="P308" s="41"/>
    </row>
    <row r="309" spans="1:75" ht="13.5" customHeight="1" x14ac:dyDescent="0.25">
      <c r="A309" s="2" t="s">
        <v>710</v>
      </c>
      <c r="B309" s="3" t="s">
        <v>51</v>
      </c>
      <c r="C309" s="3" t="s">
        <v>701</v>
      </c>
      <c r="D309" s="76" t="s">
        <v>711</v>
      </c>
      <c r="E309" s="77"/>
      <c r="F309" s="3" t="s">
        <v>487</v>
      </c>
      <c r="G309" s="34">
        <v>1</v>
      </c>
      <c r="H309" s="34"/>
      <c r="I309" s="35" t="s">
        <v>59</v>
      </c>
      <c r="J309" s="34">
        <f>G309*AO309</f>
        <v>0</v>
      </c>
      <c r="K309" s="34">
        <f>G309*AP309</f>
        <v>0</v>
      </c>
      <c r="L309" s="34">
        <f>G309*H309</f>
        <v>0</v>
      </c>
      <c r="M309" s="34">
        <f>L309*(1+BW309/100)</f>
        <v>0</v>
      </c>
      <c r="N309" s="34">
        <v>0</v>
      </c>
      <c r="O309" s="34">
        <f>G309*N309</f>
        <v>0</v>
      </c>
      <c r="P309" s="36" t="s">
        <v>50</v>
      </c>
      <c r="Z309" s="34">
        <f>IF(AQ309="5",BJ309,0)</f>
        <v>0</v>
      </c>
      <c r="AB309" s="34">
        <f>IF(AQ309="1",BH309,0)</f>
        <v>0</v>
      </c>
      <c r="AC309" s="34">
        <f>IF(AQ309="1",BI309,0)</f>
        <v>0</v>
      </c>
      <c r="AD309" s="34">
        <f>IF(AQ309="7",BH309,0)</f>
        <v>0</v>
      </c>
      <c r="AE309" s="34">
        <f>IF(AQ309="7",BI309,0)</f>
        <v>0</v>
      </c>
      <c r="AF309" s="34">
        <f>IF(AQ309="2",BH309,0)</f>
        <v>0</v>
      </c>
      <c r="AG309" s="34">
        <f>IF(AQ309="2",BI309,0)</f>
        <v>0</v>
      </c>
      <c r="AH309" s="34">
        <f>IF(AQ309="0",BJ309,0)</f>
        <v>0</v>
      </c>
      <c r="AI309" s="11" t="s">
        <v>51</v>
      </c>
      <c r="AJ309" s="34">
        <f>IF(AN309=0,L309,0)</f>
        <v>0</v>
      </c>
      <c r="AK309" s="34">
        <f>IF(AN309=12,L309,0)</f>
        <v>0</v>
      </c>
      <c r="AL309" s="34">
        <f>IF(AN309=21,L309,0)</f>
        <v>0</v>
      </c>
      <c r="AN309" s="34">
        <v>21</v>
      </c>
      <c r="AO309" s="34">
        <f>H309*0</f>
        <v>0</v>
      </c>
      <c r="AP309" s="34">
        <f>H309*(1-0)</f>
        <v>0</v>
      </c>
      <c r="AQ309" s="35" t="s">
        <v>468</v>
      </c>
      <c r="AV309" s="34">
        <f>AW309+AX309</f>
        <v>0</v>
      </c>
      <c r="AW309" s="34">
        <f>G309*AO309</f>
        <v>0</v>
      </c>
      <c r="AX309" s="34">
        <f>G309*AP309</f>
        <v>0</v>
      </c>
      <c r="AY309" s="35" t="s">
        <v>699</v>
      </c>
      <c r="AZ309" s="35" t="s">
        <v>695</v>
      </c>
      <c r="BA309" s="11" t="s">
        <v>62</v>
      </c>
      <c r="BC309" s="34">
        <f>AW309+AX309</f>
        <v>0</v>
      </c>
      <c r="BD309" s="34">
        <f>H309/(100-BE309)*100</f>
        <v>0</v>
      </c>
      <c r="BE309" s="34">
        <v>0</v>
      </c>
      <c r="BF309" s="34">
        <f>O309</f>
        <v>0</v>
      </c>
      <c r="BH309" s="34">
        <f>G309*AO309</f>
        <v>0</v>
      </c>
      <c r="BI309" s="34">
        <f>G309*AP309</f>
        <v>0</v>
      </c>
      <c r="BJ309" s="34">
        <f>G309*H309</f>
        <v>0</v>
      </c>
      <c r="BK309" s="34"/>
      <c r="BL309" s="34"/>
      <c r="BP309" s="34">
        <f>G309*H309</f>
        <v>0</v>
      </c>
      <c r="BW309" s="34" t="str">
        <f>I309</f>
        <v>21</v>
      </c>
    </row>
    <row r="310" spans="1:75" x14ac:dyDescent="0.25">
      <c r="A310" s="30" t="s">
        <v>50</v>
      </c>
      <c r="B310" s="31" t="s">
        <v>51</v>
      </c>
      <c r="C310" s="31" t="s">
        <v>712</v>
      </c>
      <c r="D310" s="130" t="s">
        <v>713</v>
      </c>
      <c r="E310" s="131"/>
      <c r="F310" s="32" t="s">
        <v>3</v>
      </c>
      <c r="G310" s="32" t="s">
        <v>3</v>
      </c>
      <c r="H310" s="32"/>
      <c r="I310" s="32" t="s">
        <v>3</v>
      </c>
      <c r="J310" s="1">
        <f>SUM(J311:J311)</f>
        <v>0</v>
      </c>
      <c r="K310" s="1">
        <f>SUM(K311:K311)</f>
        <v>0</v>
      </c>
      <c r="L310" s="1">
        <f>SUM(L311:L311)</f>
        <v>0</v>
      </c>
      <c r="M310" s="1">
        <f>SUM(M311:M311)</f>
        <v>0</v>
      </c>
      <c r="N310" s="11" t="s">
        <v>50</v>
      </c>
      <c r="O310" s="1">
        <f>SUM(O311:O311)</f>
        <v>0</v>
      </c>
      <c r="P310" s="33" t="s">
        <v>50</v>
      </c>
      <c r="AI310" s="11" t="s">
        <v>51</v>
      </c>
      <c r="AS310" s="1">
        <f>SUM(AJ311:AJ311)</f>
        <v>0</v>
      </c>
      <c r="AT310" s="1">
        <f>SUM(AK311:AK311)</f>
        <v>0</v>
      </c>
      <c r="AU310" s="1">
        <f>SUM(AL311:AL311)</f>
        <v>0</v>
      </c>
    </row>
    <row r="311" spans="1:75" ht="13.5" customHeight="1" x14ac:dyDescent="0.25">
      <c r="A311" s="47" t="s">
        <v>714</v>
      </c>
      <c r="B311" s="48" t="s">
        <v>51</v>
      </c>
      <c r="C311" s="48" t="s">
        <v>715</v>
      </c>
      <c r="D311" s="128" t="s">
        <v>716</v>
      </c>
      <c r="E311" s="113"/>
      <c r="F311" s="48" t="s">
        <v>487</v>
      </c>
      <c r="G311" s="49">
        <v>1</v>
      </c>
      <c r="H311" s="49"/>
      <c r="I311" s="50" t="s">
        <v>59</v>
      </c>
      <c r="J311" s="49">
        <f>G311*AO311</f>
        <v>0</v>
      </c>
      <c r="K311" s="49">
        <f>G311*AP311</f>
        <v>0</v>
      </c>
      <c r="L311" s="49">
        <f>G311*H311</f>
        <v>0</v>
      </c>
      <c r="M311" s="49">
        <f>L311*(1+BW311/100)</f>
        <v>0</v>
      </c>
      <c r="N311" s="49">
        <v>0</v>
      </c>
      <c r="O311" s="49">
        <f>G311*N311</f>
        <v>0</v>
      </c>
      <c r="P311" s="51" t="s">
        <v>779</v>
      </c>
      <c r="Z311" s="34">
        <f>IF(AQ311="5",BJ311,0)</f>
        <v>0</v>
      </c>
      <c r="AB311" s="34">
        <f>IF(AQ311="1",BH311,0)</f>
        <v>0</v>
      </c>
      <c r="AC311" s="34">
        <f>IF(AQ311="1",BI311,0)</f>
        <v>0</v>
      </c>
      <c r="AD311" s="34">
        <f>IF(AQ311="7",BH311,0)</f>
        <v>0</v>
      </c>
      <c r="AE311" s="34">
        <f>IF(AQ311="7",BI311,0)</f>
        <v>0</v>
      </c>
      <c r="AF311" s="34">
        <f>IF(AQ311="2",BH311,0)</f>
        <v>0</v>
      </c>
      <c r="AG311" s="34">
        <f>IF(AQ311="2",BI311,0)</f>
        <v>0</v>
      </c>
      <c r="AH311" s="34">
        <f>IF(AQ311="0",BJ311,0)</f>
        <v>0</v>
      </c>
      <c r="AI311" s="11" t="s">
        <v>51</v>
      </c>
      <c r="AJ311" s="34">
        <f>IF(AN311=0,L311,0)</f>
        <v>0</v>
      </c>
      <c r="AK311" s="34">
        <f>IF(AN311=12,L311,0)</f>
        <v>0</v>
      </c>
      <c r="AL311" s="34">
        <f>IF(AN311=21,L311,0)</f>
        <v>0</v>
      </c>
      <c r="AN311" s="34">
        <v>21</v>
      </c>
      <c r="AO311" s="34">
        <f>H311*0</f>
        <v>0</v>
      </c>
      <c r="AP311" s="34">
        <f>H311*(1-0)</f>
        <v>0</v>
      </c>
      <c r="AQ311" s="35" t="s">
        <v>468</v>
      </c>
      <c r="AV311" s="34">
        <f>AW311+AX311</f>
        <v>0</v>
      </c>
      <c r="AW311" s="34">
        <f>G311*AO311</f>
        <v>0</v>
      </c>
      <c r="AX311" s="34">
        <f>G311*AP311</f>
        <v>0</v>
      </c>
      <c r="AY311" s="35" t="s">
        <v>717</v>
      </c>
      <c r="AZ311" s="35" t="s">
        <v>695</v>
      </c>
      <c r="BA311" s="11" t="s">
        <v>62</v>
      </c>
      <c r="BC311" s="34">
        <f>AW311+AX311</f>
        <v>0</v>
      </c>
      <c r="BD311" s="34">
        <f>H311/(100-BE311)*100</f>
        <v>0</v>
      </c>
      <c r="BE311" s="34">
        <v>0</v>
      </c>
      <c r="BF311" s="34">
        <f>O311</f>
        <v>0</v>
      </c>
      <c r="BH311" s="34">
        <f>G311*AO311</f>
        <v>0</v>
      </c>
      <c r="BI311" s="34">
        <f>G311*AP311</f>
        <v>0</v>
      </c>
      <c r="BJ311" s="34">
        <f>G311*H311</f>
        <v>0</v>
      </c>
      <c r="BK311" s="34"/>
      <c r="BL311" s="34"/>
      <c r="BS311" s="34">
        <f>G311*H311</f>
        <v>0</v>
      </c>
      <c r="BW311" s="34" t="str">
        <f>I311</f>
        <v>21</v>
      </c>
    </row>
    <row r="312" spans="1:75" x14ac:dyDescent="0.25">
      <c r="J312" s="129" t="s">
        <v>718</v>
      </c>
      <c r="K312" s="129"/>
      <c r="L312" s="52">
        <f>ROUND(L13+L41+L49+L56+L60+L69+L75+L78+L83+L109+L124+L127+L207+L224+L271+L274+L278+L282+L285+L300+L302+L310,1)</f>
        <v>0</v>
      </c>
      <c r="M312" s="52">
        <f>ROUND(M13+M41+M49+M56+M60+M69+M75+M78+M83+M109+M124+M127+M207+M224+M271+M274+M278+M282+M285+M300+M302+M310,1)</f>
        <v>0</v>
      </c>
    </row>
    <row r="313" spans="1:75" x14ac:dyDescent="0.25">
      <c r="A313" s="53" t="s">
        <v>719</v>
      </c>
    </row>
    <row r="314" spans="1:75" ht="12.75" customHeight="1" x14ac:dyDescent="0.25">
      <c r="A314" s="76" t="s">
        <v>50</v>
      </c>
      <c r="B314" s="77"/>
      <c r="C314" s="77"/>
      <c r="D314" s="77"/>
      <c r="E314" s="77"/>
      <c r="F314" s="77"/>
      <c r="G314" s="77"/>
      <c r="H314" s="77"/>
      <c r="I314" s="77"/>
      <c r="J314" s="77"/>
      <c r="K314" s="77"/>
      <c r="L314" s="77"/>
      <c r="M314" s="77"/>
      <c r="N314" s="77"/>
      <c r="O314" s="77"/>
      <c r="P314" s="77"/>
    </row>
  </sheetData>
  <sheetProtection algorithmName="SHA-512" hashValue="98TXgQ6hVjHdRTGMxhENhx/FdJDrhXiBVbrw57xy7R+/z/kRdu6yyJ6SuOpcD/5qIkBcclafP2eAVK8kztMUhA==" saltValue="2OZnnERDMaA5EMTBvcDZ7Q==" spinCount="100000" sheet="1" objects="1" scenarios="1"/>
  <protectedRanges>
    <protectedRange sqref="H14:H39 H42 H45:H47 H50:H54 H57 H61 H64:H66 H70:H74 H76 H79:H81 H84 H89 H94 H98:H101 H104:H106 H110:H121 H125 H128:H206 H208:H223 H225:H233 H236:H237 H240:H245 H248 H251 H254" name="Oblast1"/>
  </protectedRanges>
  <mergeCells count="229"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J2:P3"/>
    <mergeCell ref="J4:P5"/>
    <mergeCell ref="J6:P7"/>
    <mergeCell ref="J8:P9"/>
    <mergeCell ref="D10:E10"/>
    <mergeCell ref="D8:E9"/>
    <mergeCell ref="H2:H3"/>
    <mergeCell ref="H4:H5"/>
    <mergeCell ref="H6:H7"/>
    <mergeCell ref="H8:H9"/>
    <mergeCell ref="D14:E14"/>
    <mergeCell ref="D16:E16"/>
    <mergeCell ref="D18:E18"/>
    <mergeCell ref="D20:E20"/>
    <mergeCell ref="D22:E22"/>
    <mergeCell ref="D11:E11"/>
    <mergeCell ref="J10:L10"/>
    <mergeCell ref="N10:O10"/>
    <mergeCell ref="D12:E12"/>
    <mergeCell ref="D13:E13"/>
    <mergeCell ref="D35:E35"/>
    <mergeCell ref="D37:E37"/>
    <mergeCell ref="D39:E39"/>
    <mergeCell ref="D41:E41"/>
    <mergeCell ref="D42:E42"/>
    <mergeCell ref="D25:E25"/>
    <mergeCell ref="D27:E27"/>
    <mergeCell ref="D29:E29"/>
    <mergeCell ref="D31:E31"/>
    <mergeCell ref="D33:E33"/>
    <mergeCell ref="D52:E52"/>
    <mergeCell ref="D54:E54"/>
    <mergeCell ref="D56:E56"/>
    <mergeCell ref="D57:E57"/>
    <mergeCell ref="D60:E60"/>
    <mergeCell ref="D43:P43"/>
    <mergeCell ref="D45:E45"/>
    <mergeCell ref="D47:E47"/>
    <mergeCell ref="D49:E49"/>
    <mergeCell ref="D50:E50"/>
    <mergeCell ref="D70:E70"/>
    <mergeCell ref="D72:E72"/>
    <mergeCell ref="D74:E74"/>
    <mergeCell ref="D75:E75"/>
    <mergeCell ref="D76:E76"/>
    <mergeCell ref="D61:E61"/>
    <mergeCell ref="D62:P62"/>
    <mergeCell ref="D64:E64"/>
    <mergeCell ref="D66:E66"/>
    <mergeCell ref="D69:E69"/>
    <mergeCell ref="D84:E84"/>
    <mergeCell ref="D85:P85"/>
    <mergeCell ref="D89:E89"/>
    <mergeCell ref="D90:P90"/>
    <mergeCell ref="D94:E94"/>
    <mergeCell ref="D77:P77"/>
    <mergeCell ref="D78:E78"/>
    <mergeCell ref="D79:E79"/>
    <mergeCell ref="D81:E81"/>
    <mergeCell ref="D83:E83"/>
    <mergeCell ref="D106:E106"/>
    <mergeCell ref="D109:E109"/>
    <mergeCell ref="D110:E110"/>
    <mergeCell ref="D114:E114"/>
    <mergeCell ref="D118:E118"/>
    <mergeCell ref="D95:P95"/>
    <mergeCell ref="D98:E98"/>
    <mergeCell ref="D101:E101"/>
    <mergeCell ref="D102:P102"/>
    <mergeCell ref="D104:E104"/>
    <mergeCell ref="D128:E128"/>
    <mergeCell ref="D131:E131"/>
    <mergeCell ref="D134:E134"/>
    <mergeCell ref="D137:E137"/>
    <mergeCell ref="D138:E138"/>
    <mergeCell ref="D121:E121"/>
    <mergeCell ref="D122:P122"/>
    <mergeCell ref="D124:E124"/>
    <mergeCell ref="D125:E125"/>
    <mergeCell ref="D127:E127"/>
    <mergeCell ref="D153:E153"/>
    <mergeCell ref="D154:E154"/>
    <mergeCell ref="D155:E155"/>
    <mergeCell ref="D156:E156"/>
    <mergeCell ref="D157:E157"/>
    <mergeCell ref="D142:E142"/>
    <mergeCell ref="D145:E145"/>
    <mergeCell ref="D147:E147"/>
    <mergeCell ref="D151:E151"/>
    <mergeCell ref="D152:E152"/>
    <mergeCell ref="D163:E163"/>
    <mergeCell ref="D164:E164"/>
    <mergeCell ref="D165:E165"/>
    <mergeCell ref="D166:E166"/>
    <mergeCell ref="D167:E167"/>
    <mergeCell ref="D158:E158"/>
    <mergeCell ref="D159:E159"/>
    <mergeCell ref="D160:E160"/>
    <mergeCell ref="D161:E161"/>
    <mergeCell ref="D162:E162"/>
    <mergeCell ref="D173:E173"/>
    <mergeCell ref="D174:E174"/>
    <mergeCell ref="D175:E175"/>
    <mergeCell ref="D176:E176"/>
    <mergeCell ref="D177:E177"/>
    <mergeCell ref="D168:E168"/>
    <mergeCell ref="D169:E169"/>
    <mergeCell ref="D170:E170"/>
    <mergeCell ref="D171:E171"/>
    <mergeCell ref="D172:E172"/>
    <mergeCell ref="D183:E183"/>
    <mergeCell ref="D184:E184"/>
    <mergeCell ref="D185:E185"/>
    <mergeCell ref="D186:E186"/>
    <mergeCell ref="D187:E187"/>
    <mergeCell ref="D178:E178"/>
    <mergeCell ref="D179:E179"/>
    <mergeCell ref="D180:E180"/>
    <mergeCell ref="D181:E181"/>
    <mergeCell ref="D182:E182"/>
    <mergeCell ref="D193:E193"/>
    <mergeCell ref="D194:E194"/>
    <mergeCell ref="D195:E195"/>
    <mergeCell ref="D196:E196"/>
    <mergeCell ref="D197:E197"/>
    <mergeCell ref="D188:E188"/>
    <mergeCell ref="D189:E189"/>
    <mergeCell ref="D190:E190"/>
    <mergeCell ref="D191:E191"/>
    <mergeCell ref="D192:E192"/>
    <mergeCell ref="D203:E203"/>
    <mergeCell ref="D204:E204"/>
    <mergeCell ref="D205:E205"/>
    <mergeCell ref="D206:E206"/>
    <mergeCell ref="D207:E207"/>
    <mergeCell ref="D198:E198"/>
    <mergeCell ref="D199:E199"/>
    <mergeCell ref="D200:E200"/>
    <mergeCell ref="D201:E201"/>
    <mergeCell ref="D202:E202"/>
    <mergeCell ref="D214:E214"/>
    <mergeCell ref="D215:E215"/>
    <mergeCell ref="D216:E216"/>
    <mergeCell ref="D217:E217"/>
    <mergeCell ref="D218:E218"/>
    <mergeCell ref="D208:E208"/>
    <mergeCell ref="D210:E210"/>
    <mergeCell ref="D211:E211"/>
    <mergeCell ref="D212:E212"/>
    <mergeCell ref="D213:E213"/>
    <mergeCell ref="D224:E224"/>
    <mergeCell ref="D225:E225"/>
    <mergeCell ref="D229:E229"/>
    <mergeCell ref="D232:E232"/>
    <mergeCell ref="D233:E233"/>
    <mergeCell ref="D219:E219"/>
    <mergeCell ref="D220:E220"/>
    <mergeCell ref="D221:E221"/>
    <mergeCell ref="D222:E222"/>
    <mergeCell ref="D223:E223"/>
    <mergeCell ref="D241:E241"/>
    <mergeCell ref="D243:E243"/>
    <mergeCell ref="D245:E245"/>
    <mergeCell ref="D246:P246"/>
    <mergeCell ref="D248:E248"/>
    <mergeCell ref="D234:P234"/>
    <mergeCell ref="D236:E236"/>
    <mergeCell ref="D237:E237"/>
    <mergeCell ref="D238:P238"/>
    <mergeCell ref="D240:E240"/>
    <mergeCell ref="D257:E257"/>
    <mergeCell ref="D258:P258"/>
    <mergeCell ref="D260:E260"/>
    <mergeCell ref="D262:E262"/>
    <mergeCell ref="D264:E264"/>
    <mergeCell ref="D249:P249"/>
    <mergeCell ref="D251:E251"/>
    <mergeCell ref="D252:P252"/>
    <mergeCell ref="D254:E254"/>
    <mergeCell ref="D255:P255"/>
    <mergeCell ref="D274:E274"/>
    <mergeCell ref="D275:E275"/>
    <mergeCell ref="D276:P276"/>
    <mergeCell ref="D278:E278"/>
    <mergeCell ref="D279:E279"/>
    <mergeCell ref="D266:E266"/>
    <mergeCell ref="D268:E268"/>
    <mergeCell ref="D270:E270"/>
    <mergeCell ref="D271:E271"/>
    <mergeCell ref="D272:E272"/>
    <mergeCell ref="D286:E286"/>
    <mergeCell ref="D288:E288"/>
    <mergeCell ref="D290:E290"/>
    <mergeCell ref="D291:E291"/>
    <mergeCell ref="D293:E293"/>
    <mergeCell ref="D280:E280"/>
    <mergeCell ref="D282:E282"/>
    <mergeCell ref="D283:E283"/>
    <mergeCell ref="D284:E284"/>
    <mergeCell ref="D285:E285"/>
    <mergeCell ref="D311:E311"/>
    <mergeCell ref="J312:K312"/>
    <mergeCell ref="A314:P314"/>
    <mergeCell ref="D303:E303"/>
    <mergeCell ref="D307:E307"/>
    <mergeCell ref="D309:E309"/>
    <mergeCell ref="D310:E310"/>
    <mergeCell ref="D302:E302"/>
    <mergeCell ref="D295:E295"/>
    <mergeCell ref="D297:E297"/>
    <mergeCell ref="D299:E299"/>
    <mergeCell ref="D300:E300"/>
    <mergeCell ref="D301:E301"/>
  </mergeCells>
  <pageMargins left="0.393999993801117" right="0.393999993801117" top="0.59100002050399802" bottom="0.59100002050399802" header="0" footer="0"/>
  <pageSetup scale="51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5"/>
  <sheetViews>
    <sheetView workbookViewId="0">
      <selection activeCell="A45" sqref="A45:E45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17" t="s">
        <v>762</v>
      </c>
      <c r="B1" s="118"/>
      <c r="C1" s="118"/>
      <c r="D1" s="118"/>
      <c r="E1" s="118"/>
      <c r="F1" s="118"/>
      <c r="G1" s="118"/>
      <c r="H1" s="118"/>
      <c r="I1" s="118"/>
    </row>
    <row r="2" spans="1:9" x14ac:dyDescent="0.25">
      <c r="A2" s="119" t="s">
        <v>0</v>
      </c>
      <c r="B2" s="120"/>
      <c r="C2" s="125" t="str">
        <f>'soupis prací'!D2</f>
        <v>PE09 Parkovací dům - ON Trutnov</v>
      </c>
      <c r="D2" s="126"/>
      <c r="E2" s="116" t="s">
        <v>4</v>
      </c>
      <c r="F2" s="116" t="str">
        <f>'soupis prací'!J2</f>
        <v> </v>
      </c>
      <c r="G2" s="120"/>
      <c r="H2" s="116" t="s">
        <v>721</v>
      </c>
      <c r="I2" s="122" t="s">
        <v>50</v>
      </c>
    </row>
    <row r="3" spans="1:9" ht="15" customHeight="1" x14ac:dyDescent="0.25">
      <c r="A3" s="121"/>
      <c r="B3" s="77"/>
      <c r="C3" s="127"/>
      <c r="D3" s="127"/>
      <c r="E3" s="77"/>
      <c r="F3" s="77"/>
      <c r="G3" s="77"/>
      <c r="H3" s="77"/>
      <c r="I3" s="123"/>
    </row>
    <row r="4" spans="1:9" x14ac:dyDescent="0.25">
      <c r="A4" s="114" t="s">
        <v>6</v>
      </c>
      <c r="B4" s="77"/>
      <c r="C4" s="76" t="str">
        <f>'soupis prací'!D4</f>
        <v xml:space="preserve"> </v>
      </c>
      <c r="D4" s="77"/>
      <c r="E4" s="76" t="s">
        <v>9</v>
      </c>
      <c r="F4" s="76" t="str">
        <f>'soupis prací'!J4</f>
        <v> </v>
      </c>
      <c r="G4" s="77"/>
      <c r="H4" s="76" t="s">
        <v>721</v>
      </c>
      <c r="I4" s="123" t="s">
        <v>50</v>
      </c>
    </row>
    <row r="5" spans="1:9" ht="15" customHeight="1" x14ac:dyDescent="0.25">
      <c r="A5" s="121"/>
      <c r="B5" s="77"/>
      <c r="C5" s="77"/>
      <c r="D5" s="77"/>
      <c r="E5" s="77"/>
      <c r="F5" s="77"/>
      <c r="G5" s="77"/>
      <c r="H5" s="77"/>
      <c r="I5" s="123"/>
    </row>
    <row r="6" spans="1:9" x14ac:dyDescent="0.25">
      <c r="A6" s="114" t="s">
        <v>10</v>
      </c>
      <c r="B6" s="77"/>
      <c r="C6" s="76" t="str">
        <f>'soupis prací'!D6</f>
        <v xml:space="preserve"> </v>
      </c>
      <c r="D6" s="77"/>
      <c r="E6" s="76" t="s">
        <v>12</v>
      </c>
      <c r="F6" s="76" t="str">
        <f>'soupis prací'!J6</f>
        <v> </v>
      </c>
      <c r="G6" s="77"/>
      <c r="H6" s="76" t="s">
        <v>721</v>
      </c>
      <c r="I6" s="123" t="s">
        <v>50</v>
      </c>
    </row>
    <row r="7" spans="1:9" ht="15" customHeight="1" x14ac:dyDescent="0.25">
      <c r="A7" s="121"/>
      <c r="B7" s="77"/>
      <c r="C7" s="77"/>
      <c r="D7" s="77"/>
      <c r="E7" s="77"/>
      <c r="F7" s="77"/>
      <c r="G7" s="77"/>
      <c r="H7" s="77"/>
      <c r="I7" s="123"/>
    </row>
    <row r="8" spans="1:9" x14ac:dyDescent="0.25">
      <c r="A8" s="114" t="s">
        <v>7</v>
      </c>
      <c r="B8" s="77"/>
      <c r="C8" s="76" t="str">
        <f>'soupis prací'!H4</f>
        <v>11.11.2024</v>
      </c>
      <c r="D8" s="77"/>
      <c r="E8" s="76" t="s">
        <v>11</v>
      </c>
      <c r="F8" s="76" t="str">
        <f>'soupis prací'!H6</f>
        <v xml:space="preserve"> </v>
      </c>
      <c r="G8" s="77"/>
      <c r="H8" s="77" t="s">
        <v>722</v>
      </c>
      <c r="I8" s="124">
        <v>161</v>
      </c>
    </row>
    <row r="9" spans="1:9" x14ac:dyDescent="0.25">
      <c r="A9" s="121"/>
      <c r="B9" s="77"/>
      <c r="C9" s="77"/>
      <c r="D9" s="77"/>
      <c r="E9" s="77"/>
      <c r="F9" s="77"/>
      <c r="G9" s="77"/>
      <c r="H9" s="77"/>
      <c r="I9" s="123"/>
    </row>
    <row r="10" spans="1:9" x14ac:dyDescent="0.25">
      <c r="A10" s="114" t="s">
        <v>13</v>
      </c>
      <c r="B10" s="77"/>
      <c r="C10" s="76" t="str">
        <f>'soupis prací'!D8</f>
        <v xml:space="preserve"> </v>
      </c>
      <c r="D10" s="77"/>
      <c r="E10" s="76" t="s">
        <v>15</v>
      </c>
      <c r="F10" s="76" t="str">
        <f>'soupis prací'!J8</f>
        <v> </v>
      </c>
      <c r="G10" s="77"/>
      <c r="H10" s="77" t="s">
        <v>723</v>
      </c>
      <c r="I10" s="108" t="str">
        <f>'soupis prací'!H8</f>
        <v>11.11.2024</v>
      </c>
    </row>
    <row r="11" spans="1:9" x14ac:dyDescent="0.25">
      <c r="A11" s="115"/>
      <c r="B11" s="113"/>
      <c r="C11" s="113"/>
      <c r="D11" s="113"/>
      <c r="E11" s="113"/>
      <c r="F11" s="113"/>
      <c r="G11" s="113"/>
      <c r="H11" s="113"/>
      <c r="I11" s="109"/>
    </row>
    <row r="13" spans="1:9" ht="15.75" x14ac:dyDescent="0.25">
      <c r="A13" s="166" t="s">
        <v>763</v>
      </c>
      <c r="B13" s="166"/>
      <c r="C13" s="166"/>
      <c r="D13" s="166"/>
      <c r="E13" s="166"/>
    </row>
    <row r="14" spans="1:9" x14ac:dyDescent="0.25">
      <c r="A14" s="167" t="s">
        <v>764</v>
      </c>
      <c r="B14" s="168"/>
      <c r="C14" s="168"/>
      <c r="D14" s="168"/>
      <c r="E14" s="169"/>
      <c r="F14" s="68" t="s">
        <v>765</v>
      </c>
      <c r="G14" s="68" t="s">
        <v>766</v>
      </c>
      <c r="H14" s="68" t="s">
        <v>767</v>
      </c>
      <c r="I14" s="68" t="s">
        <v>765</v>
      </c>
    </row>
    <row r="15" spans="1:9" x14ac:dyDescent="0.25">
      <c r="A15" s="151" t="s">
        <v>733</v>
      </c>
      <c r="B15" s="152"/>
      <c r="C15" s="152"/>
      <c r="D15" s="152"/>
      <c r="E15" s="153"/>
      <c r="F15" s="69">
        <v>0</v>
      </c>
      <c r="G15" s="70" t="s">
        <v>50</v>
      </c>
      <c r="H15" s="70" t="s">
        <v>50</v>
      </c>
      <c r="I15" s="69">
        <f>F15</f>
        <v>0</v>
      </c>
    </row>
    <row r="16" spans="1:9" x14ac:dyDescent="0.25">
      <c r="A16" s="151" t="s">
        <v>734</v>
      </c>
      <c r="B16" s="152"/>
      <c r="C16" s="152"/>
      <c r="D16" s="152"/>
      <c r="E16" s="153"/>
      <c r="F16" s="69">
        <v>0</v>
      </c>
      <c r="G16" s="70" t="s">
        <v>50</v>
      </c>
      <c r="H16" s="70" t="s">
        <v>50</v>
      </c>
      <c r="I16" s="69">
        <f>F16</f>
        <v>0</v>
      </c>
    </row>
    <row r="17" spans="1:9" x14ac:dyDescent="0.25">
      <c r="A17" s="154" t="s">
        <v>737</v>
      </c>
      <c r="B17" s="155"/>
      <c r="C17" s="155"/>
      <c r="D17" s="155"/>
      <c r="E17" s="156"/>
      <c r="F17" s="71">
        <v>0</v>
      </c>
      <c r="G17" s="72" t="s">
        <v>50</v>
      </c>
      <c r="H17" s="72" t="s">
        <v>50</v>
      </c>
      <c r="I17" s="71">
        <f>F17</f>
        <v>0</v>
      </c>
    </row>
    <row r="18" spans="1:9" x14ac:dyDescent="0.25">
      <c r="A18" s="157" t="s">
        <v>768</v>
      </c>
      <c r="B18" s="158"/>
      <c r="C18" s="158"/>
      <c r="D18" s="158"/>
      <c r="E18" s="159"/>
      <c r="F18" s="73" t="s">
        <v>50</v>
      </c>
      <c r="G18" s="74" t="s">
        <v>50</v>
      </c>
      <c r="H18" s="74" t="s">
        <v>50</v>
      </c>
      <c r="I18" s="75">
        <f>SUM(I15:I17)</f>
        <v>0</v>
      </c>
    </row>
    <row r="20" spans="1:9" x14ac:dyDescent="0.25">
      <c r="A20" s="167" t="s">
        <v>730</v>
      </c>
      <c r="B20" s="168"/>
      <c r="C20" s="168"/>
      <c r="D20" s="168"/>
      <c r="E20" s="169"/>
      <c r="F20" s="68" t="s">
        <v>765</v>
      </c>
      <c r="G20" s="68" t="s">
        <v>766</v>
      </c>
      <c r="H20" s="68" t="s">
        <v>767</v>
      </c>
      <c r="I20" s="68" t="s">
        <v>765</v>
      </c>
    </row>
    <row r="21" spans="1:9" x14ac:dyDescent="0.25">
      <c r="A21" s="151" t="s">
        <v>696</v>
      </c>
      <c r="B21" s="152"/>
      <c r="C21" s="152"/>
      <c r="D21" s="152"/>
      <c r="E21" s="153"/>
      <c r="F21" s="69">
        <v>0</v>
      </c>
      <c r="G21" s="70" t="s">
        <v>50</v>
      </c>
      <c r="H21" s="70" t="s">
        <v>50</v>
      </c>
      <c r="I21" s="69">
        <f t="shared" ref="I21:I26" si="0">F21</f>
        <v>0</v>
      </c>
    </row>
    <row r="22" spans="1:9" x14ac:dyDescent="0.25">
      <c r="A22" s="151" t="s">
        <v>735</v>
      </c>
      <c r="B22" s="152"/>
      <c r="C22" s="152"/>
      <c r="D22" s="152"/>
      <c r="E22" s="153"/>
      <c r="F22" s="69">
        <v>0</v>
      </c>
      <c r="G22" s="70" t="s">
        <v>50</v>
      </c>
      <c r="H22" s="70" t="s">
        <v>50</v>
      </c>
      <c r="I22" s="69">
        <f t="shared" si="0"/>
        <v>0</v>
      </c>
    </row>
    <row r="23" spans="1:9" x14ac:dyDescent="0.25">
      <c r="A23" s="151" t="s">
        <v>738</v>
      </c>
      <c r="B23" s="152"/>
      <c r="C23" s="152"/>
      <c r="D23" s="152"/>
      <c r="E23" s="153"/>
      <c r="F23" s="69">
        <v>0</v>
      </c>
      <c r="G23" s="70" t="s">
        <v>50</v>
      </c>
      <c r="H23" s="70" t="s">
        <v>50</v>
      </c>
      <c r="I23" s="69">
        <f t="shared" si="0"/>
        <v>0</v>
      </c>
    </row>
    <row r="24" spans="1:9" x14ac:dyDescent="0.25">
      <c r="A24" s="151" t="s">
        <v>713</v>
      </c>
      <c r="B24" s="152"/>
      <c r="C24" s="152"/>
      <c r="D24" s="152"/>
      <c r="E24" s="153"/>
      <c r="F24" s="69">
        <v>0</v>
      </c>
      <c r="G24" s="70" t="s">
        <v>50</v>
      </c>
      <c r="H24" s="70" t="s">
        <v>50</v>
      </c>
      <c r="I24" s="69">
        <f t="shared" si="0"/>
        <v>0</v>
      </c>
    </row>
    <row r="25" spans="1:9" x14ac:dyDescent="0.25">
      <c r="A25" s="151" t="s">
        <v>740</v>
      </c>
      <c r="B25" s="152"/>
      <c r="C25" s="152"/>
      <c r="D25" s="152"/>
      <c r="E25" s="153"/>
      <c r="F25" s="69">
        <v>0</v>
      </c>
      <c r="G25" s="70" t="s">
        <v>50</v>
      </c>
      <c r="H25" s="70" t="s">
        <v>50</v>
      </c>
      <c r="I25" s="69">
        <f t="shared" si="0"/>
        <v>0</v>
      </c>
    </row>
    <row r="26" spans="1:9" x14ac:dyDescent="0.25">
      <c r="A26" s="154" t="s">
        <v>741</v>
      </c>
      <c r="B26" s="155"/>
      <c r="C26" s="155"/>
      <c r="D26" s="155"/>
      <c r="E26" s="156"/>
      <c r="F26" s="71">
        <v>0</v>
      </c>
      <c r="G26" s="72" t="s">
        <v>50</v>
      </c>
      <c r="H26" s="72" t="s">
        <v>50</v>
      </c>
      <c r="I26" s="71">
        <f t="shared" si="0"/>
        <v>0</v>
      </c>
    </row>
    <row r="27" spans="1:9" x14ac:dyDescent="0.25">
      <c r="A27" s="157" t="s">
        <v>769</v>
      </c>
      <c r="B27" s="158"/>
      <c r="C27" s="158"/>
      <c r="D27" s="158"/>
      <c r="E27" s="159"/>
      <c r="F27" s="73" t="s">
        <v>50</v>
      </c>
      <c r="G27" s="74" t="s">
        <v>50</v>
      </c>
      <c r="H27" s="74" t="s">
        <v>50</v>
      </c>
      <c r="I27" s="75">
        <f>SUM(I21:I26)</f>
        <v>0</v>
      </c>
    </row>
    <row r="29" spans="1:9" ht="15.75" x14ac:dyDescent="0.25">
      <c r="A29" s="160" t="s">
        <v>770</v>
      </c>
      <c r="B29" s="161"/>
      <c r="C29" s="161"/>
      <c r="D29" s="161"/>
      <c r="E29" s="162"/>
      <c r="F29" s="163">
        <f>I18+I27</f>
        <v>0</v>
      </c>
      <c r="G29" s="164"/>
      <c r="H29" s="164"/>
      <c r="I29" s="165"/>
    </row>
    <row r="33" spans="1:9" ht="15.75" x14ac:dyDescent="0.25">
      <c r="A33" s="166" t="s">
        <v>771</v>
      </c>
      <c r="B33" s="166"/>
      <c r="C33" s="166"/>
      <c r="D33" s="166"/>
      <c r="E33" s="166"/>
    </row>
    <row r="34" spans="1:9" x14ac:dyDescent="0.25">
      <c r="A34" s="167" t="s">
        <v>772</v>
      </c>
      <c r="B34" s="168"/>
      <c r="C34" s="168"/>
      <c r="D34" s="168"/>
      <c r="E34" s="169"/>
      <c r="F34" s="68" t="s">
        <v>765</v>
      </c>
      <c r="G34" s="68" t="s">
        <v>766</v>
      </c>
      <c r="H34" s="68" t="s">
        <v>767</v>
      </c>
      <c r="I34" s="68" t="s">
        <v>765</v>
      </c>
    </row>
    <row r="35" spans="1:9" x14ac:dyDescent="0.25">
      <c r="A35" s="151" t="s">
        <v>690</v>
      </c>
      <c r="B35" s="152"/>
      <c r="C35" s="152"/>
      <c r="D35" s="152"/>
      <c r="E35" s="153"/>
      <c r="F35" s="69">
        <f>SUM('soupis prací'!BM12:BM311)</f>
        <v>0</v>
      </c>
      <c r="G35" s="70" t="s">
        <v>50</v>
      </c>
      <c r="H35" s="70" t="s">
        <v>50</v>
      </c>
      <c r="I35" s="69">
        <f t="shared" ref="I35:I44" si="1">F35</f>
        <v>0</v>
      </c>
    </row>
    <row r="36" spans="1:9" x14ac:dyDescent="0.25">
      <c r="A36" s="151" t="s">
        <v>773</v>
      </c>
      <c r="B36" s="152"/>
      <c r="C36" s="152"/>
      <c r="D36" s="152"/>
      <c r="E36" s="153"/>
      <c r="F36" s="69">
        <f>SUM('soupis prací'!BN12:BN311)</f>
        <v>0</v>
      </c>
      <c r="G36" s="70" t="s">
        <v>50</v>
      </c>
      <c r="H36" s="70" t="s">
        <v>50</v>
      </c>
      <c r="I36" s="69">
        <f t="shared" si="1"/>
        <v>0</v>
      </c>
    </row>
    <row r="37" spans="1:9" x14ac:dyDescent="0.25">
      <c r="A37" s="151" t="s">
        <v>696</v>
      </c>
      <c r="B37" s="152"/>
      <c r="C37" s="152"/>
      <c r="D37" s="152"/>
      <c r="E37" s="153"/>
      <c r="F37" s="69">
        <f>SUM('soupis prací'!BO12:BO311)</f>
        <v>0</v>
      </c>
      <c r="G37" s="70" t="s">
        <v>50</v>
      </c>
      <c r="H37" s="70" t="s">
        <v>50</v>
      </c>
      <c r="I37" s="69">
        <f t="shared" si="1"/>
        <v>0</v>
      </c>
    </row>
    <row r="38" spans="1:9" x14ac:dyDescent="0.25">
      <c r="A38" s="151" t="s">
        <v>698</v>
      </c>
      <c r="B38" s="152"/>
      <c r="C38" s="152"/>
      <c r="D38" s="152"/>
      <c r="E38" s="153"/>
      <c r="F38" s="69">
        <f>SUM('soupis prací'!BP12:BP311)</f>
        <v>0</v>
      </c>
      <c r="G38" s="70" t="s">
        <v>50</v>
      </c>
      <c r="H38" s="70" t="s">
        <v>50</v>
      </c>
      <c r="I38" s="69">
        <f t="shared" si="1"/>
        <v>0</v>
      </c>
    </row>
    <row r="39" spans="1:9" x14ac:dyDescent="0.25">
      <c r="A39" s="151" t="s">
        <v>774</v>
      </c>
      <c r="B39" s="152"/>
      <c r="C39" s="152"/>
      <c r="D39" s="152"/>
      <c r="E39" s="153"/>
      <c r="F39" s="69">
        <f>SUM('soupis prací'!BQ12:BQ311)</f>
        <v>0</v>
      </c>
      <c r="G39" s="70" t="s">
        <v>50</v>
      </c>
      <c r="H39" s="70" t="s">
        <v>50</v>
      </c>
      <c r="I39" s="69">
        <f t="shared" si="1"/>
        <v>0</v>
      </c>
    </row>
    <row r="40" spans="1:9" x14ac:dyDescent="0.25">
      <c r="A40" s="151" t="s">
        <v>738</v>
      </c>
      <c r="B40" s="152"/>
      <c r="C40" s="152"/>
      <c r="D40" s="152"/>
      <c r="E40" s="153"/>
      <c r="F40" s="69">
        <f>SUM('soupis prací'!BR12:BR311)</f>
        <v>0</v>
      </c>
      <c r="G40" s="70" t="s">
        <v>50</v>
      </c>
      <c r="H40" s="70" t="s">
        <v>50</v>
      </c>
      <c r="I40" s="69">
        <f t="shared" si="1"/>
        <v>0</v>
      </c>
    </row>
    <row r="41" spans="1:9" x14ac:dyDescent="0.25">
      <c r="A41" s="151" t="s">
        <v>713</v>
      </c>
      <c r="B41" s="152"/>
      <c r="C41" s="152"/>
      <c r="D41" s="152"/>
      <c r="E41" s="153"/>
      <c r="F41" s="69">
        <f>SUM('soupis prací'!BS12:BS311)</f>
        <v>0</v>
      </c>
      <c r="G41" s="70" t="s">
        <v>50</v>
      </c>
      <c r="H41" s="70" t="s">
        <v>50</v>
      </c>
      <c r="I41" s="69">
        <f t="shared" si="1"/>
        <v>0</v>
      </c>
    </row>
    <row r="42" spans="1:9" x14ac:dyDescent="0.25">
      <c r="A42" s="151" t="s">
        <v>775</v>
      </c>
      <c r="B42" s="152"/>
      <c r="C42" s="152"/>
      <c r="D42" s="152"/>
      <c r="E42" s="153"/>
      <c r="F42" s="69">
        <f>SUM('soupis prací'!BT12:BT311)</f>
        <v>0</v>
      </c>
      <c r="G42" s="70" t="s">
        <v>50</v>
      </c>
      <c r="H42" s="70" t="s">
        <v>50</v>
      </c>
      <c r="I42" s="69">
        <f t="shared" si="1"/>
        <v>0</v>
      </c>
    </row>
    <row r="43" spans="1:9" x14ac:dyDescent="0.25">
      <c r="A43" s="151" t="s">
        <v>776</v>
      </c>
      <c r="B43" s="152"/>
      <c r="C43" s="152"/>
      <c r="D43" s="152"/>
      <c r="E43" s="153"/>
      <c r="F43" s="69">
        <f>SUM('soupis prací'!BU12:BU311)</f>
        <v>0</v>
      </c>
      <c r="G43" s="70" t="s">
        <v>50</v>
      </c>
      <c r="H43" s="70" t="s">
        <v>50</v>
      </c>
      <c r="I43" s="69">
        <f t="shared" si="1"/>
        <v>0</v>
      </c>
    </row>
    <row r="44" spans="1:9" x14ac:dyDescent="0.25">
      <c r="A44" s="154" t="s">
        <v>777</v>
      </c>
      <c r="B44" s="155"/>
      <c r="C44" s="155"/>
      <c r="D44" s="155"/>
      <c r="E44" s="156"/>
      <c r="F44" s="71">
        <f>SUM('soupis prací'!BV12:BV311)</f>
        <v>0</v>
      </c>
      <c r="G44" s="72" t="s">
        <v>50</v>
      </c>
      <c r="H44" s="72" t="s">
        <v>50</v>
      </c>
      <c r="I44" s="71">
        <f t="shared" si="1"/>
        <v>0</v>
      </c>
    </row>
    <row r="45" spans="1:9" x14ac:dyDescent="0.25">
      <c r="A45" s="157" t="s">
        <v>778</v>
      </c>
      <c r="B45" s="158"/>
      <c r="C45" s="158"/>
      <c r="D45" s="158"/>
      <c r="E45" s="159"/>
      <c r="F45" s="73" t="s">
        <v>50</v>
      </c>
      <c r="G45" s="74" t="s">
        <v>50</v>
      </c>
      <c r="H45" s="74" t="s">
        <v>50</v>
      </c>
      <c r="I45" s="75">
        <f>SUM(I35:I44)</f>
        <v>0</v>
      </c>
    </row>
  </sheetData>
  <mergeCells count="60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  <mergeCell ref="A37:E37"/>
    <mergeCell ref="A38:E38"/>
    <mergeCell ref="A39:E39"/>
    <mergeCell ref="A40:E40"/>
    <mergeCell ref="A41:E41"/>
    <mergeCell ref="A42:E42"/>
    <mergeCell ref="A43:E43"/>
    <mergeCell ref="A44:E44"/>
    <mergeCell ref="A45:E4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soupisu prací</vt:lpstr>
      <vt:lpstr>soupis prací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2021-06-10T20:06:38Z</dcterms:created>
  <dcterms:modified xsi:type="dcterms:W3CDTF">2025-07-18T08:17:59Z</dcterms:modified>
</cp:coreProperties>
</file>